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8640" activeTab="0"/>
  </bookViews>
  <sheets>
    <sheet name="Титульний лист 2021" sheetId="1" r:id="rId1"/>
    <sheet name="І Фін результат КНП (2021)" sheetId="2" r:id="rId2"/>
    <sheet name="ІІ Розр з бюджетом КНП 2021" sheetId="3" state="hidden" r:id="rId3"/>
    <sheet name="ІІ Розр з бюджетом КНП 2021 рік" sheetId="4" r:id="rId4"/>
    <sheet name="ІІІ Рух грошових коштів 2021" sheetId="5" r:id="rId5"/>
    <sheet name="ІV Кап інвестиції КНП 2021" sheetId="6" r:id="rId6"/>
    <sheet name="V ОП КНП СМСЧ (+сф) 2021" sheetId="7" r:id="rId7"/>
    <sheet name="V ОП КНП СМСЧ 2020" sheetId="8" state="hidden" r:id="rId8"/>
    <sheet name="Лист6" sheetId="9" r:id="rId9"/>
  </sheets>
  <definedNames>
    <definedName name="_xlnm.Print_Area" localSheetId="6">'V ОП КНП СМСЧ (+сф) 2021'!$A$1:$D$32</definedName>
    <definedName name="_xlnm.Print_Area" localSheetId="2">'ІІ Розр з бюджетом КНП 2021'!$A$1:$I$58</definedName>
    <definedName name="_xlnm.Print_Area" localSheetId="3">'ІІ Розр з бюджетом КНП 2021 рік'!$A$1:$I$56</definedName>
  </definedNames>
  <calcPr fullCalcOnLoad="1"/>
</workbook>
</file>

<file path=xl/sharedStrings.xml><?xml version="1.0" encoding="utf-8"?>
<sst xmlns="http://schemas.openxmlformats.org/spreadsheetml/2006/main" count="538" uniqueCount="321">
  <si>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</si>
  <si>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</si>
  <si>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</si>
  <si>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</si>
  <si>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</si>
  <si>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</si>
  <si>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</si>
  <si>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</si>
  <si>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</si>
  <si>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</si>
  <si>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</si>
  <si>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</si>
  <si>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</si>
  <si>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</si>
  <si>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</si>
  <si>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</si>
  <si>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</si>
  <si>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</si>
  <si>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</si>
  <si>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</si>
  <si>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</si>
  <si>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</si>
  <si>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</si>
  <si>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</si>
  <si>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</si>
  <si>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</si>
  <si>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</si>
  <si>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</si>
  <si>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</si>
  <si>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</si>
  <si>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</si>
  <si>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</si>
  <si>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</si>
  <si>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</si>
  <si>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</si>
  <si>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</si>
  <si>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</si>
  <si>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</si>
  <si>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</si>
  <si>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</si>
  <si>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</si>
  <si>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</si>
  <si>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</si>
  <si>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</si>
  <si>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</si>
  <si>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</si>
  <si>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</si>
  <si>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</si>
  <si>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</si>
  <si>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</si>
  <si>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</si>
  <si>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</si>
  <si>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</si>
  <si>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</si>
  <si>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</si>
  <si>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</si>
  <si>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</si>
  <si>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</si>
  <si>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</si>
  <si>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</si>
  <si>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</si>
  <si>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</si>
  <si>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</si>
  <si>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</si>
  <si>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</si>
  <si>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</si>
  <si>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</si>
  <si>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</si>
  <si>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</si>
  <si>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</si>
  <si>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</si>
  <si>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</si>
  <si>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</si>
  <si>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</si>
  <si>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</si>
  <si>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</si>
  <si>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</si>
  <si>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</si>
  <si>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</si>
  <si>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</si>
  <si>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</si>
  <si>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</si>
  <si>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</si>
  <si>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</si>
  <si>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</si>
  <si>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</si>
  <si>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</si>
  <si>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</si>
  <si>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</si>
  <si>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</si>
  <si>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</si>
  <si>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</si>
  <si>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</si>
  <si>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</si>
  <si>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</si>
  <si>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</si>
  <si>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</si>
  <si>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</si>
  <si>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</si>
  <si>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</si>
  <si>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</si>
  <si>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</si>
  <si>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</si>
  <si>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</si>
  <si>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</si>
  <si>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</si>
  <si>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</si>
  <si>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</si>
  <si>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</si>
  <si>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</si>
  <si>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</si>
  <si>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</si>
  <si>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</si>
  <si>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</si>
  <si>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</si>
  <si>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</si>
  <si>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</si>
  <si>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</si>
  <si>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</si>
  <si>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</si>
  <si>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</si>
  <si>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</si>
  <si>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</si>
  <si>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</si>
  <si>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</si>
  <si>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</si>
  <si>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</si>
  <si>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</si>
  <si>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</si>
  <si>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</si>
  <si>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</si>
  <si>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</si>
  <si>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</si>
  <si>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</si>
  <si>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</si>
  <si>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</si>
  <si>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</si>
  <si>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</si>
  <si>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</si>
  <si>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</si>
  <si>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</si>
  <si>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</si>
  <si>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</si>
  <si>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</si>
  <si>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</si>
  <si>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</si>
  <si>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</si>
  <si>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</si>
  <si>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</si>
  <si>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</si>
  <si>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</si>
  <si>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</si>
  <si>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</si>
  <si>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</si>
  <si>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</si>
  <si>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</si>
  <si>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</si>
  <si>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</si>
  <si>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</si>
  <si>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</si>
  <si>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</si>
  <si>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</si>
  <si>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</si>
  <si>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</si>
  <si>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</si>
  <si>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</si>
  <si>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</si>
  <si>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</si>
  <si>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</si>
  <si>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</si>
  <si>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</si>
  <si>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</si>
  <si>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</si>
  <si>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</si>
  <si>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</si>
  <si>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</si>
  <si>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</si>
  <si>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</si>
  <si>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</si>
  <si>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</si>
  <si>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</si>
  <si>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</si>
  <si>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</si>
  <si>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</si>
  <si>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</si>
  <si>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</si>
  <si>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</si>
  <si>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</si>
  <si>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</si>
  <si>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</si>
  <si>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</si>
  <si>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Комунальна</t>
  </si>
  <si>
    <t>3060/1</t>
  </si>
  <si>
    <t>3060/2</t>
  </si>
  <si>
    <t>3060/3</t>
  </si>
  <si>
    <t>3060/4</t>
  </si>
  <si>
    <t>___.___.______</t>
  </si>
  <si>
    <t>№ ___/_______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</si>
  <si>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</si>
  <si>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</si>
  <si>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</si>
  <si>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</si>
  <si>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</si>
  <si>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</si>
  <si>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</si>
  <si>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</si>
  <si>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</si>
  <si>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Кошти отримані від додаткової господарської діяльності (прання)</t>
  </si>
  <si>
    <t xml:space="preserve">Фінансовий план поточного року  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</si>
  <si>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</si>
  <si>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</si>
  <si>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</si>
  <si>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</si>
  <si>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</si>
  <si>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</si>
  <si>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оплата послуг (крім комунальних)</t>
  </si>
  <si>
    <t>Інші доходи (придбання обладнання і предметів довгострокового користування)</t>
  </si>
  <si>
    <t>Інші витрати (відрядні, навчання персоналу)</t>
  </si>
  <si>
    <t>адміністративні послуги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</si>
  <si>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</si>
  <si>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</si>
  <si>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</si>
  <si>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</si>
  <si>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</si>
  <si>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</si>
  <si>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</si>
  <si>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</si>
  <si>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</si>
  <si>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</si>
  <si>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</si>
  <si>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</si>
  <si>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</si>
  <si>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</si>
  <si>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</si>
  <si>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</si>
  <si>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</si>
  <si>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</si>
  <si>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</si>
  <si>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</si>
  <si>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</si>
  <si>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</si>
  <si>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</si>
  <si>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</si>
  <si>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Головний бухгалтер</t>
  </si>
  <si>
    <t>Головний бухгалтер_______________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</si>
  <si>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</si>
  <si>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</si>
  <si>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</si>
  <si>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</si>
  <si>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</si>
  <si>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</si>
  <si>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3170/1</t>
  </si>
  <si>
    <t>3170/2</t>
  </si>
  <si>
    <t>11784,54*50%*12+11784,54премія до дня медика+11784,54премія за рік=235690,8</t>
  </si>
  <si>
    <t>499,5 з/ф + с/ф+з/пункт+цеховы терапевти?????</t>
  </si>
  <si>
    <t>Дохід від депозитних коштів на рахунках в банках</t>
  </si>
  <si>
    <t>1150/7</t>
  </si>
  <si>
    <t>військовий збір  1,5%</t>
  </si>
  <si>
    <t>Заступник директора з економічних питань</t>
  </si>
  <si>
    <t>В.Н.Пословський</t>
  </si>
  <si>
    <t>В.В.Парахіна</t>
  </si>
  <si>
    <t>____________________</t>
  </si>
  <si>
    <t>___________________</t>
  </si>
  <si>
    <t>________________</t>
  </si>
  <si>
    <t>86.10                   86.22                   86.23</t>
  </si>
  <si>
    <t>Головний бухгалтер______</t>
  </si>
  <si>
    <t>СТАРА (Кількість штатних одиниць по загальному фонду)</t>
  </si>
  <si>
    <t>Директор _______________</t>
  </si>
  <si>
    <t>Директор</t>
  </si>
  <si>
    <t>Дохід з місцевого бюджету по Програмі "Поетапного покращення надання медичної допомоги населенню міста Нетішина та розвитку галузі охорони здоров'я на 2017-2020 роки"</t>
  </si>
  <si>
    <t>Дохід з місцевого бюджету за  цільовими програмами (інсулін)</t>
  </si>
  <si>
    <t xml:space="preserve">Директор </t>
  </si>
  <si>
    <r>
      <t xml:space="preserve">Директор </t>
    </r>
    <r>
      <rPr>
        <sz val="11"/>
        <rFont val="Times New Roman"/>
        <family val="1"/>
      </rPr>
      <t>________________</t>
    </r>
  </si>
  <si>
    <t>Інші операційні доходи (кошти від НСЗУ)</t>
  </si>
  <si>
    <t>Дохід з місцевого бюджету (медична субвенція)</t>
  </si>
  <si>
    <t>Н.В.Зінчук</t>
  </si>
  <si>
    <t>Василь ПОСЛОВСЬКИЙ</t>
  </si>
  <si>
    <t>Інші операційні доходи (кошти отримані від надання медичних послуг за темою "Медико-санітарне обслуговування" в здоровпункті ВП ХАЕС та цехові терапевти)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</si>
  <si>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обслуговуванням)</t>
  </si>
  <si>
    <t>Централізоване постачання (медикаменти, "Пакунки малюка", інші матеріали)</t>
  </si>
  <si>
    <t>Кошти отримані від благодійних внесків</t>
  </si>
  <si>
    <t>1000/5</t>
  </si>
  <si>
    <t>предмети, матеріали, обладнання та інвентар (витрати пов'язані з утриманням приміщень; придбання канцелярських товарів;  реєстраційних журналів; бланкова продукція; комп'ютерне обладнання; придбання мийних засобів та інші)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</si>
  <si>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</si>
  <si>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комунальних), а саме: ремонт комп'ютерної техніки (в т.ч. заправка картриджів), електронні підписи, послуги з охорони, видавничі, банківські, поштові послуги, послуги з перереєстрації автомобілів, довідки, витяг, ліцензія, обслуговування програм та інші</t>
  </si>
  <si>
    <t>Витрати, що здійснюються для підтримання об’єкта в робочому стані (предмети і матеріали проведення ремонту, технічного огляду, нагляду, обслуговування тощо, оплата послуг (крім комунальних))</t>
  </si>
  <si>
    <t>соціальне забезпечення              (пільгові пенсії)</t>
  </si>
  <si>
    <t>Інші витрати (капітальні видатки), в т.ч. апарат ШВЛ, цифровий флюрогаф, цифровий мамограф, пожежна сигналізація та інше обладнання</t>
  </si>
  <si>
    <t>1000/6</t>
  </si>
  <si>
    <t>1001/1</t>
  </si>
  <si>
    <t>1160/13</t>
  </si>
  <si>
    <t>плата за отримання ліцензії медичної практики</t>
  </si>
  <si>
    <t>плата за надання інших адміністративних послуг</t>
  </si>
  <si>
    <t>2142/3</t>
  </si>
  <si>
    <t>Кошти отримані від орендарів на відшкодування земельного податку</t>
  </si>
  <si>
    <t>3060/5</t>
  </si>
  <si>
    <t>3060/6</t>
  </si>
  <si>
    <t>3060/7</t>
  </si>
  <si>
    <t>Кошти отримані від Фонду соціального страхування з тимчасової втрати непрацездатності</t>
  </si>
  <si>
    <t>Дохід від цільового фінансування оплачуваних додаткових відпусток відповідно до Закону України "Про статус і соціальний захист громадян, які постраждали внаслідок Чорнобильсбкої катастрофи" від 28.02.91 р. № 796-ХІІ</t>
  </si>
  <si>
    <t>військовий збір</t>
  </si>
  <si>
    <t>3144/2</t>
  </si>
  <si>
    <t>3144/3</t>
  </si>
  <si>
    <t>3170/3</t>
  </si>
  <si>
    <t>3170/4</t>
  </si>
  <si>
    <t>Витрати на виплату матеріального забезпечення  від Фонду соціального страхування з тимчасової втрати непрацездатності</t>
  </si>
  <si>
    <t>2116/1</t>
  </si>
  <si>
    <t xml:space="preserve">Інші витрати </t>
  </si>
  <si>
    <t>3170/5</t>
  </si>
  <si>
    <t>3060/8</t>
  </si>
  <si>
    <t xml:space="preserve">єдиний внесок на загальнообов'язкове державне соціальне страхування    </t>
  </si>
  <si>
    <t>податок на додану вартість від операційної діяльності</t>
  </si>
  <si>
    <t>земельний податок від операційної діяльності</t>
  </si>
  <si>
    <t>Дохід з місцевого бюджету по Комплексні Програмі розвитку та підтримки комунальних підприємств охорони здоров’я Нетішинської міської ОТГ і надання медичних послуг  на 2021-2024 роки</t>
  </si>
  <si>
    <r>
      <t>амортизація основних засобів і нематеріальних активів</t>
    </r>
    <r>
      <rPr>
        <b/>
        <sz val="12"/>
        <rFont val="Times New Roman"/>
        <family val="1"/>
      </rPr>
      <t xml:space="preserve"> загальногосподарського призначення</t>
    </r>
  </si>
  <si>
    <t>Валентина ПАРАХІНА</t>
  </si>
  <si>
    <t>Ніна ЗІНЧУК</t>
  </si>
  <si>
    <t>(посада)</t>
  </si>
  <si>
    <t xml:space="preserve">           (посада)</t>
  </si>
  <si>
    <t>Заступник директора  з економічних питань</t>
  </si>
  <si>
    <t xml:space="preserve"> ЗМІНЕНИЙ ФІНАНСОВИЙ ПЛАН ПІДПРИЄМСТВА НА  2021  рік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</si>
</sst>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0.00_ ;[Red]\-0.00\ "/>
    <numFmt numFmtId="209" formatCode="0.000"/>
    <numFmt numFmtId="210" formatCode="0.0000"/>
    <numFmt numFmtId="211" formatCode="#,##0.0000"/>
    <numFmt numFmtId="212" formatCode="_-* #,##0.0\ _₴_-;\-* #,##0.0\ _₴_-;_-* &quot;-&quot;??\ _₴_-;_-@_-"/>
    <numFmt numFmtId="213" formatCode="_-* #,##0\ _₴_-;\-* #,##0\ _₴_-;_-* &quot;-&quot;??\ _₴_-;_-@_-"/>
    <numFmt numFmtId="214" formatCode="#,##0.00\ _₽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7" fontId="12" fillId="0" borderId="11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206" fontId="11" fillId="0" borderId="11" xfId="0" applyNumberFormat="1" applyFont="1" applyFill="1" applyBorder="1" applyAlignment="1">
      <alignment horizontal="center" vertical="center" wrapText="1"/>
    </xf>
    <xf numFmtId="207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1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2" fillId="0" borderId="10" xfId="0" applyNumberFormat="1" applyFont="1" applyFill="1" applyBorder="1" applyAlignment="1">
      <alignment horizontal="center" vertical="center" wrapText="1"/>
    </xf>
    <xf numFmtId="207" fontId="11" fillId="0" borderId="1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6" fillId="0" borderId="18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8" fontId="0" fillId="24" borderId="10" xfId="0" applyNumberFormat="1" applyFont="1" applyFill="1" applyBorder="1" applyAlignment="1">
      <alignment horizontal="right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8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201" fontId="4" fillId="2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04" fontId="4" fillId="2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208" fontId="11" fillId="2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205" fontId="12" fillId="0" borderId="0" xfId="0" applyNumberFormat="1" applyFont="1" applyFill="1" applyBorder="1" applyAlignment="1">
      <alignment horizontal="center" vertical="center" wrapText="1"/>
    </xf>
    <xf numFmtId="205" fontId="12" fillId="0" borderId="0" xfId="0" applyNumberFormat="1" applyFont="1" applyFill="1" applyBorder="1" applyAlignment="1">
      <alignment horizontal="right" vertical="center" wrapText="1"/>
    </xf>
    <xf numFmtId="205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2" fontId="1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2" fontId="12" fillId="24" borderId="10" xfId="0" applyNumberFormat="1" applyFont="1" applyFill="1" applyBorder="1" applyAlignment="1">
      <alignment horizontal="right" vertical="center"/>
    </xf>
    <xf numFmtId="0" fontId="12" fillId="0" borderId="10" xfId="53" applyFont="1" applyFill="1" applyBorder="1" applyAlignment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>
      <alignment horizontal="right" vertical="center"/>
    </xf>
    <xf numFmtId="4" fontId="11" fillId="25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3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214" fontId="12" fillId="0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4" fontId="11" fillId="25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 quotePrefix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 wrapText="1"/>
    </xf>
    <xf numFmtId="0" fontId="3" fillId="25" borderId="10" xfId="54" applyFont="1" applyFill="1" applyBorder="1" applyAlignment="1">
      <alignment horizontal="left" vertical="center" wrapText="1"/>
      <protection/>
    </xf>
    <xf numFmtId="4" fontId="3" fillId="25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 shrinkToFit="1"/>
    </xf>
    <xf numFmtId="0" fontId="1" fillId="25" borderId="10" xfId="0" applyFont="1" applyFill="1" applyBorder="1" applyAlignment="1" quotePrefix="1">
      <alignment horizontal="center" vertical="center"/>
    </xf>
    <xf numFmtId="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J29"/>
  <sheetViews>
    <sheetView tabSelected="1" zoomScaleSheetLayoutView="90" zoomScalePageLayoutView="0" workbookViewId="0" topLeftCell="A3">
      <selection activeCell="C13" sqref="C13:E13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5.7109375" style="0" customWidth="1"/>
    <col min="6" max="6" width="9.710937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5"/>
      <c r="E1" s="199" t="s">
        <v>174</v>
      </c>
      <c r="F1" s="199"/>
      <c r="G1" s="199"/>
      <c r="H1" s="199"/>
    </row>
    <row r="2" spans="4:10" ht="71.25" customHeight="1" hidden="1">
      <c r="D2" s="47"/>
      <c r="E2" s="200" t="s">
        <v>160</v>
      </c>
      <c r="F2" s="200"/>
      <c r="G2" s="200"/>
      <c r="H2" s="200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144</v>
      </c>
    </row>
    <row r="6" spans="2:5" ht="18" customHeight="1">
      <c r="B6" s="49"/>
      <c r="E6" t="s">
        <v>159</v>
      </c>
    </row>
    <row r="7" spans="2:5" ht="18" customHeight="1">
      <c r="B7" s="49"/>
      <c r="E7" t="s">
        <v>159</v>
      </c>
    </row>
    <row r="8" spans="2:5" ht="18" customHeight="1">
      <c r="B8" s="49"/>
      <c r="E8" t="s">
        <v>159</v>
      </c>
    </row>
    <row r="9" spans="2:7" ht="18" customHeight="1">
      <c r="B9" s="49"/>
      <c r="E9" t="s">
        <v>196</v>
      </c>
      <c r="G9" t="s">
        <v>197</v>
      </c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2" t="s">
        <v>145</v>
      </c>
      <c r="H11" s="73"/>
    </row>
    <row r="12" spans="2:8" ht="16.5" thickBot="1">
      <c r="B12" s="61"/>
      <c r="C12" s="45"/>
      <c r="D12" s="45"/>
      <c r="E12" s="45">
        <v>2021</v>
      </c>
      <c r="F12" s="51" t="s">
        <v>141</v>
      </c>
      <c r="G12" s="74"/>
      <c r="H12" s="75"/>
    </row>
    <row r="13" spans="2:8" ht="93" customHeight="1" thickBot="1">
      <c r="B13" s="79" t="s">
        <v>146</v>
      </c>
      <c r="C13" s="201" t="s">
        <v>246</v>
      </c>
      <c r="D13" s="201"/>
      <c r="E13" s="201"/>
      <c r="F13" s="80" t="s">
        <v>147</v>
      </c>
      <c r="G13" s="202">
        <v>40365451</v>
      </c>
      <c r="H13" s="203"/>
    </row>
    <row r="14" spans="2:8" ht="32.25" thickBot="1">
      <c r="B14" s="54" t="s">
        <v>148</v>
      </c>
      <c r="C14" s="55"/>
      <c r="D14" s="55"/>
      <c r="E14" s="55"/>
      <c r="F14" s="52" t="s">
        <v>149</v>
      </c>
      <c r="G14" s="70"/>
      <c r="H14" s="71">
        <v>150</v>
      </c>
    </row>
    <row r="15" spans="2:8" ht="21.75" customHeight="1" thickBot="1">
      <c r="B15" s="54" t="s">
        <v>150</v>
      </c>
      <c r="C15" s="55"/>
      <c r="D15" s="55"/>
      <c r="E15" s="55"/>
      <c r="F15" s="52" t="s">
        <v>151</v>
      </c>
      <c r="G15" s="70"/>
      <c r="H15" s="71"/>
    </row>
    <row r="16" spans="2:8" ht="46.5" customHeight="1" thickBot="1">
      <c r="B16" s="54" t="s">
        <v>152</v>
      </c>
      <c r="C16" s="55"/>
      <c r="D16" s="55"/>
      <c r="E16" s="55"/>
      <c r="F16" s="52" t="s">
        <v>153</v>
      </c>
      <c r="G16" s="70"/>
      <c r="H16" s="127" t="s">
        <v>264</v>
      </c>
    </row>
    <row r="17" spans="2:8" ht="32.25" customHeight="1" thickBot="1">
      <c r="B17" s="54" t="s">
        <v>154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155</v>
      </c>
      <c r="C18" s="204" t="s">
        <v>191</v>
      </c>
      <c r="D18" s="204"/>
      <c r="E18" s="204"/>
      <c r="F18" s="204"/>
      <c r="G18" s="56"/>
      <c r="H18" s="53"/>
    </row>
    <row r="19" spans="2:8" ht="39" customHeight="1" thickBot="1">
      <c r="B19" s="54" t="s">
        <v>156</v>
      </c>
      <c r="C19" s="205">
        <v>489.25</v>
      </c>
      <c r="D19" s="205"/>
      <c r="E19" s="57"/>
      <c r="F19" s="55"/>
      <c r="G19" s="56"/>
      <c r="H19" s="53"/>
    </row>
    <row r="20" spans="2:8" ht="21.75" customHeight="1" thickBot="1">
      <c r="B20" s="54" t="s">
        <v>157</v>
      </c>
      <c r="C20" s="56" t="s">
        <v>183</v>
      </c>
      <c r="D20" s="56"/>
      <c r="E20" s="56"/>
      <c r="F20" s="56"/>
      <c r="G20" s="56"/>
      <c r="H20" s="53"/>
    </row>
    <row r="21" spans="2:8" ht="21.75" customHeight="1" thickBot="1">
      <c r="B21" s="54" t="s">
        <v>158</v>
      </c>
      <c r="C21" s="58">
        <v>42266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2" t="s">
        <v>268</v>
      </c>
      <c r="C23" s="2"/>
      <c r="D23" s="2"/>
      <c r="E23" s="196" t="s">
        <v>276</v>
      </c>
      <c r="F23" s="196"/>
      <c r="G23" s="196"/>
      <c r="H23" s="196"/>
    </row>
    <row r="24" spans="2:8" ht="39" customHeight="1">
      <c r="B24" s="126"/>
      <c r="C24" s="2"/>
      <c r="D24" s="2"/>
      <c r="E24" s="197"/>
      <c r="F24" s="197"/>
      <c r="G24" s="197"/>
      <c r="H24" s="197"/>
    </row>
    <row r="25" spans="2:8" ht="29.25" customHeight="1">
      <c r="B25" s="2"/>
      <c r="C25" s="2"/>
      <c r="D25" s="2"/>
      <c r="E25" s="198"/>
      <c r="F25" s="198"/>
      <c r="G25" s="198"/>
      <c r="H25" s="198"/>
    </row>
    <row r="26" ht="16.5">
      <c r="B26" s="60"/>
    </row>
    <row r="27" ht="15.75">
      <c r="B27" s="44"/>
    </row>
    <row r="28" ht="15.75">
      <c r="B28" s="44"/>
    </row>
    <row r="29" ht="15.75">
      <c r="B29" s="44"/>
    </row>
  </sheetData>
  <sheetProtection/>
  <mergeCells count="9">
    <mergeCell ref="E23:H23"/>
    <mergeCell ref="E24:H24"/>
    <mergeCell ref="E25:H25"/>
    <mergeCell ref="E1:H1"/>
    <mergeCell ref="E2:H2"/>
    <mergeCell ref="C13:E13"/>
    <mergeCell ref="G13:H13"/>
    <mergeCell ref="C18:F18"/>
    <mergeCell ref="C19:D19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5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31.7109375" style="2" customWidth="1"/>
    <col min="2" max="2" width="8.00390625" style="2" customWidth="1"/>
    <col min="3" max="3" width="12.28125" style="2" customWidth="1"/>
    <col min="4" max="4" width="12.421875" style="2" customWidth="1"/>
    <col min="5" max="5" width="11.140625" style="2" customWidth="1"/>
    <col min="6" max="6" width="11.28125" style="2" customWidth="1"/>
    <col min="7" max="7" width="10.421875" style="2" customWidth="1"/>
    <col min="8" max="9" width="10.8515625" style="2" customWidth="1"/>
    <col min="10" max="16384" width="9.140625" style="2" customWidth="1"/>
  </cols>
  <sheetData>
    <row r="1" spans="1:9" ht="22.5" customHeight="1">
      <c r="A1" s="213" t="s">
        <v>320</v>
      </c>
      <c r="B1" s="213"/>
      <c r="C1" s="213"/>
      <c r="D1" s="213"/>
      <c r="E1" s="213"/>
      <c r="F1" s="213"/>
      <c r="G1" s="213"/>
      <c r="H1" s="213"/>
      <c r="I1" s="213"/>
    </row>
    <row r="2" spans="7:9" ht="15" customHeight="1">
      <c r="G2" s="214" t="s">
        <v>143</v>
      </c>
      <c r="H2" s="214"/>
      <c r="I2" s="214"/>
    </row>
    <row r="3" spans="1:9" ht="18.75">
      <c r="A3" s="215" t="s">
        <v>0</v>
      </c>
      <c r="B3" s="215"/>
      <c r="C3" s="215"/>
      <c r="D3" s="215"/>
      <c r="E3" s="215"/>
      <c r="F3" s="215"/>
      <c r="G3" s="215"/>
      <c r="H3" s="215"/>
      <c r="I3" s="215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216" t="s">
        <v>1</v>
      </c>
      <c r="B5" s="209" t="s">
        <v>2</v>
      </c>
      <c r="C5" s="209" t="s">
        <v>3</v>
      </c>
      <c r="D5" s="209" t="s">
        <v>208</v>
      </c>
      <c r="E5" s="209" t="s">
        <v>5</v>
      </c>
      <c r="F5" s="209" t="s">
        <v>6</v>
      </c>
      <c r="G5" s="209"/>
      <c r="H5" s="209"/>
      <c r="I5" s="209"/>
    </row>
    <row r="6" spans="1:9" ht="37.5" customHeight="1">
      <c r="A6" s="216"/>
      <c r="B6" s="209"/>
      <c r="C6" s="209"/>
      <c r="D6" s="209"/>
      <c r="E6" s="209"/>
      <c r="F6" s="182" t="s">
        <v>7</v>
      </c>
      <c r="G6" s="182" t="s">
        <v>8</v>
      </c>
      <c r="H6" s="182" t="s">
        <v>9</v>
      </c>
      <c r="I6" s="182" t="s">
        <v>10</v>
      </c>
    </row>
    <row r="7" spans="1:9" s="12" customFormat="1" ht="15.75">
      <c r="A7" s="140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</row>
    <row r="8" spans="1:9" ht="33" customHeight="1">
      <c r="A8" s="157" t="s">
        <v>11</v>
      </c>
      <c r="B8" s="125"/>
      <c r="C8" s="125"/>
      <c r="D8" s="142"/>
      <c r="E8" s="125"/>
      <c r="F8" s="125"/>
      <c r="G8" s="125"/>
      <c r="H8" s="125"/>
      <c r="I8" s="125"/>
    </row>
    <row r="9" spans="1:9" ht="51" customHeight="1">
      <c r="A9" s="166" t="s">
        <v>12</v>
      </c>
      <c r="B9" s="167">
        <v>1000</v>
      </c>
      <c r="C9" s="168">
        <f>C10+C11+C12+C13+C16+C15+C17+C14</f>
        <v>6661.81</v>
      </c>
      <c r="D9" s="169">
        <f>D10+D11+D12+D13+D14+D15+D16</f>
        <v>44699.8</v>
      </c>
      <c r="E9" s="168">
        <f>F9+G9+H9+I9</f>
        <v>71754.92</v>
      </c>
      <c r="F9" s="168">
        <f>F10+F11+F12+F13+F16+F14+F15</f>
        <v>24277.899999999998</v>
      </c>
      <c r="G9" s="168">
        <f>G10+G11+G12+G13+G16+G14+G15</f>
        <v>21086.94</v>
      </c>
      <c r="H9" s="168">
        <f>H10+H11+H12+H13+H16+H14+H15</f>
        <v>13200.93</v>
      </c>
      <c r="I9" s="168">
        <f>I10+I11+I12+I13+I16+I14+I15</f>
        <v>13189.15</v>
      </c>
    </row>
    <row r="10" spans="1:9" ht="101.25" customHeight="1">
      <c r="A10" s="170" t="s">
        <v>278</v>
      </c>
      <c r="B10" s="167" t="s">
        <v>184</v>
      </c>
      <c r="C10" s="171">
        <v>4312.53</v>
      </c>
      <c r="D10" s="171">
        <v>3183</v>
      </c>
      <c r="E10" s="168">
        <f aca="true" t="shared" si="0" ref="E10:E16">F10+G10+H10+I10</f>
        <v>5426.22</v>
      </c>
      <c r="F10" s="172">
        <f>1102.5+252.5+10.8</f>
        <v>1365.8</v>
      </c>
      <c r="G10" s="172">
        <f>1102.5+252.5+9</f>
        <v>1364</v>
      </c>
      <c r="H10" s="172">
        <f>1102.5+252.5</f>
        <v>1355</v>
      </c>
      <c r="I10" s="172">
        <f>1102.5+238.92</f>
        <v>1341.42</v>
      </c>
    </row>
    <row r="11" spans="1:9" ht="32.25" customHeight="1">
      <c r="A11" s="170" t="s">
        <v>205</v>
      </c>
      <c r="B11" s="167" t="s">
        <v>185</v>
      </c>
      <c r="C11" s="171">
        <v>380.6</v>
      </c>
      <c r="D11" s="171">
        <v>261</v>
      </c>
      <c r="E11" s="168">
        <f t="shared" si="0"/>
        <v>353</v>
      </c>
      <c r="F11" s="172">
        <v>88</v>
      </c>
      <c r="G11" s="172">
        <v>88</v>
      </c>
      <c r="H11" s="172">
        <v>88.5</v>
      </c>
      <c r="I11" s="172">
        <v>88.5</v>
      </c>
    </row>
    <row r="12" spans="1:9" ht="32.25" customHeight="1">
      <c r="A12" s="170" t="s">
        <v>206</v>
      </c>
      <c r="B12" s="167" t="s">
        <v>186</v>
      </c>
      <c r="C12" s="171">
        <v>10.96</v>
      </c>
      <c r="D12" s="171">
        <v>8</v>
      </c>
      <c r="E12" s="168">
        <f t="shared" si="0"/>
        <v>3.6</v>
      </c>
      <c r="F12" s="172"/>
      <c r="G12" s="172">
        <v>1.8</v>
      </c>
      <c r="H12" s="172"/>
      <c r="I12" s="172">
        <v>1.8</v>
      </c>
    </row>
    <row r="13" spans="1:9" ht="52.5" customHeight="1">
      <c r="A13" s="170" t="s">
        <v>207</v>
      </c>
      <c r="B13" s="167" t="s">
        <v>187</v>
      </c>
      <c r="C13" s="171">
        <v>0</v>
      </c>
      <c r="D13" s="171">
        <v>0</v>
      </c>
      <c r="E13" s="168"/>
      <c r="F13" s="172"/>
      <c r="G13" s="172"/>
      <c r="H13" s="172"/>
      <c r="I13" s="172"/>
    </row>
    <row r="14" spans="1:9" ht="38.25" customHeight="1">
      <c r="A14" s="170" t="s">
        <v>280</v>
      </c>
      <c r="B14" s="167" t="s">
        <v>281</v>
      </c>
      <c r="C14" s="171">
        <v>60.1</v>
      </c>
      <c r="D14" s="171">
        <v>0</v>
      </c>
      <c r="E14" s="168"/>
      <c r="F14" s="172"/>
      <c r="G14" s="172"/>
      <c r="H14" s="172"/>
      <c r="I14" s="172"/>
    </row>
    <row r="15" spans="1:9" ht="105" customHeight="1">
      <c r="A15" s="170" t="s">
        <v>277</v>
      </c>
      <c r="B15" s="167" t="s">
        <v>288</v>
      </c>
      <c r="C15" s="171"/>
      <c r="D15" s="171"/>
      <c r="E15" s="168">
        <f t="shared" si="0"/>
        <v>3163.9999999999995</v>
      </c>
      <c r="F15" s="172">
        <v>726</v>
      </c>
      <c r="G15" s="172">
        <v>763.14</v>
      </c>
      <c r="H15" s="172">
        <v>837.43</v>
      </c>
      <c r="I15" s="172">
        <v>837.43</v>
      </c>
    </row>
    <row r="16" spans="1:9" ht="38.25" customHeight="1">
      <c r="A16" s="170" t="s">
        <v>273</v>
      </c>
      <c r="B16" s="167">
        <v>1001</v>
      </c>
      <c r="C16" s="171">
        <v>0</v>
      </c>
      <c r="D16" s="169">
        <v>41247.8</v>
      </c>
      <c r="E16" s="168">
        <f t="shared" si="0"/>
        <v>62808.1</v>
      </c>
      <c r="F16" s="172">
        <f>10920+7950+300+3228.1-300</f>
        <v>22098.1</v>
      </c>
      <c r="G16" s="172">
        <f>10920+7950+300-300</f>
        <v>18870</v>
      </c>
      <c r="H16" s="172">
        <v>10920</v>
      </c>
      <c r="I16" s="172">
        <v>10920</v>
      </c>
    </row>
    <row r="17" spans="1:9" ht="54" customHeight="1">
      <c r="A17" s="170" t="s">
        <v>279</v>
      </c>
      <c r="B17" s="167" t="s">
        <v>289</v>
      </c>
      <c r="C17" s="171">
        <v>1897.62</v>
      </c>
      <c r="D17" s="171"/>
      <c r="E17" s="168"/>
      <c r="F17" s="172"/>
      <c r="G17" s="172"/>
      <c r="H17" s="172"/>
      <c r="I17" s="172"/>
    </row>
    <row r="18" spans="1:9" ht="53.25" customHeight="1">
      <c r="A18" s="166" t="s">
        <v>13</v>
      </c>
      <c r="B18" s="167">
        <v>1010</v>
      </c>
      <c r="C18" s="169">
        <v>2719.33</v>
      </c>
      <c r="D18" s="169">
        <f aca="true" t="shared" si="1" ref="D18:I18">D19+D20+D21+D22+D23+D24+D25+D26+D27+D28</f>
        <v>3452</v>
      </c>
      <c r="E18" s="169">
        <f t="shared" si="1"/>
        <v>8946.82</v>
      </c>
      <c r="F18" s="169">
        <f t="shared" si="1"/>
        <v>2179.8</v>
      </c>
      <c r="G18" s="169">
        <f>G19+G20+G21+G22+G23+G24+G25+G26+G27+G28</f>
        <v>2216.94</v>
      </c>
      <c r="H18" s="169">
        <f t="shared" si="1"/>
        <v>2280.9300000000003</v>
      </c>
      <c r="I18" s="169">
        <f t="shared" si="1"/>
        <v>2269.15</v>
      </c>
    </row>
    <row r="19" spans="1:9" ht="36.75" customHeight="1">
      <c r="A19" s="166" t="s">
        <v>221</v>
      </c>
      <c r="B19" s="173">
        <v>1011</v>
      </c>
      <c r="C19" s="171">
        <v>183.04</v>
      </c>
      <c r="D19" s="171">
        <v>202.8</v>
      </c>
      <c r="E19" s="169">
        <f>F19+G19+H19+I19</f>
        <v>2577</v>
      </c>
      <c r="F19" s="171">
        <f>22.7+61.5+66.3+495.19</f>
        <v>645.69</v>
      </c>
      <c r="G19" s="171">
        <f>16.7+61.5+66.3+552.16</f>
        <v>696.66</v>
      </c>
      <c r="H19" s="171">
        <f>27.3+61.5+61.2+457.2</f>
        <v>607.2</v>
      </c>
      <c r="I19" s="171">
        <f>34.1+61.5+62.2+472.83-3.18</f>
        <v>627.45</v>
      </c>
    </row>
    <row r="20" spans="1:9" ht="15.75">
      <c r="A20" s="166" t="s">
        <v>14</v>
      </c>
      <c r="B20" s="173">
        <v>1012</v>
      </c>
      <c r="C20" s="171"/>
      <c r="D20" s="171"/>
      <c r="E20" s="171"/>
      <c r="F20" s="171"/>
      <c r="G20" s="171"/>
      <c r="H20" s="171"/>
      <c r="I20" s="171"/>
    </row>
    <row r="21" spans="1:9" ht="18.75" customHeight="1">
      <c r="A21" s="166" t="s">
        <v>15</v>
      </c>
      <c r="B21" s="173">
        <v>1013</v>
      </c>
      <c r="C21" s="171"/>
      <c r="D21" s="171"/>
      <c r="E21" s="171"/>
      <c r="F21" s="171"/>
      <c r="G21" s="171"/>
      <c r="H21" s="171"/>
      <c r="I21" s="171"/>
    </row>
    <row r="22" spans="1:9" ht="21" customHeight="1">
      <c r="A22" s="166" t="s">
        <v>16</v>
      </c>
      <c r="B22" s="173">
        <v>1014</v>
      </c>
      <c r="C22" s="171">
        <v>1772.8</v>
      </c>
      <c r="D22" s="171">
        <v>2110</v>
      </c>
      <c r="E22" s="168">
        <f>F22+G22+H22+I22</f>
        <v>4370</v>
      </c>
      <c r="F22" s="172">
        <f>510+520</f>
        <v>1030</v>
      </c>
      <c r="G22" s="172">
        <f>540+510</f>
        <v>1050</v>
      </c>
      <c r="H22" s="172">
        <f>590+550</f>
        <v>1140</v>
      </c>
      <c r="I22" s="172">
        <f>592+558</f>
        <v>1150</v>
      </c>
    </row>
    <row r="23" spans="1:9" ht="34.5" customHeight="1">
      <c r="A23" s="166" t="s">
        <v>17</v>
      </c>
      <c r="B23" s="173">
        <v>1015</v>
      </c>
      <c r="C23" s="171">
        <v>398</v>
      </c>
      <c r="D23" s="171">
        <v>464.2</v>
      </c>
      <c r="E23" s="168">
        <f>F23+G23+H23+I23</f>
        <v>959.82</v>
      </c>
      <c r="F23" s="171">
        <f>ROUND(F22*21.95/100,2)+0.02</f>
        <v>226.11</v>
      </c>
      <c r="G23" s="171">
        <f>ROUND(G22*21.95/100,2)</f>
        <v>230.48</v>
      </c>
      <c r="H23" s="171">
        <f>ROUND(H22*21.95/100,2)</f>
        <v>250.23</v>
      </c>
      <c r="I23" s="171">
        <v>253</v>
      </c>
    </row>
    <row r="24" spans="1:9" ht="122.25" customHeight="1">
      <c r="A24" s="166" t="s">
        <v>285</v>
      </c>
      <c r="B24" s="173">
        <v>1016</v>
      </c>
      <c r="C24" s="171">
        <v>133.46</v>
      </c>
      <c r="D24" s="171">
        <v>269</v>
      </c>
      <c r="E24" s="168">
        <f>F24+G24+H24+I24</f>
        <v>780</v>
      </c>
      <c r="F24" s="172">
        <f>88+12.5+92.5</f>
        <v>193</v>
      </c>
      <c r="G24" s="172">
        <f>88+12.5+1.8+92.5</f>
        <v>194.8</v>
      </c>
      <c r="H24" s="172">
        <f>88.5+12.5+92.5</f>
        <v>193.5</v>
      </c>
      <c r="I24" s="172">
        <f>88.5+12.5+1.8+92.5+3.4</f>
        <v>198.70000000000002</v>
      </c>
    </row>
    <row r="25" spans="1:9" ht="35.25" customHeight="1">
      <c r="A25" s="166" t="s">
        <v>18</v>
      </c>
      <c r="B25" s="173">
        <v>1017</v>
      </c>
      <c r="C25" s="171"/>
      <c r="D25" s="171"/>
      <c r="E25" s="168"/>
      <c r="F25" s="174"/>
      <c r="G25" s="174"/>
      <c r="H25" s="174"/>
      <c r="I25" s="174"/>
    </row>
    <row r="26" spans="1:9" ht="24.75" customHeight="1">
      <c r="A26" s="166" t="s">
        <v>19</v>
      </c>
      <c r="B26" s="173">
        <v>1018</v>
      </c>
      <c r="C26" s="171"/>
      <c r="D26" s="171"/>
      <c r="E26" s="168"/>
      <c r="F26" s="171"/>
      <c r="G26" s="171"/>
      <c r="H26" s="171"/>
      <c r="I26" s="171"/>
    </row>
    <row r="27" spans="1:9" ht="51.75" customHeight="1">
      <c r="A27" s="166" t="s">
        <v>220</v>
      </c>
      <c r="B27" s="173" t="s">
        <v>241</v>
      </c>
      <c r="C27" s="171">
        <v>232.03</v>
      </c>
      <c r="D27" s="171">
        <v>381</v>
      </c>
      <c r="E27" s="168">
        <f>F27+G27+H27+I27</f>
        <v>230</v>
      </c>
      <c r="F27" s="171">
        <v>80</v>
      </c>
      <c r="G27" s="171">
        <v>35</v>
      </c>
      <c r="H27" s="171">
        <v>80</v>
      </c>
      <c r="I27" s="171">
        <v>35</v>
      </c>
    </row>
    <row r="28" spans="1:9" ht="24.75" customHeight="1">
      <c r="A28" s="166" t="s">
        <v>218</v>
      </c>
      <c r="B28" s="173" t="s">
        <v>242</v>
      </c>
      <c r="C28" s="171"/>
      <c r="D28" s="171">
        <v>25</v>
      </c>
      <c r="E28" s="168">
        <f>F28+G28+H28+I28</f>
        <v>30</v>
      </c>
      <c r="F28" s="171">
        <v>5</v>
      </c>
      <c r="G28" s="171">
        <v>10</v>
      </c>
      <c r="H28" s="171">
        <v>10</v>
      </c>
      <c r="I28" s="171">
        <v>5</v>
      </c>
    </row>
    <row r="29" spans="1:9" ht="24.75" customHeight="1">
      <c r="A29" s="166" t="s">
        <v>20</v>
      </c>
      <c r="B29" s="167">
        <v>1020</v>
      </c>
      <c r="C29" s="169"/>
      <c r="D29" s="169">
        <v>41247.8</v>
      </c>
      <c r="E29" s="169">
        <f>F29+G29+H29+I29</f>
        <v>62808.1</v>
      </c>
      <c r="F29" s="169">
        <f>F9-F18</f>
        <v>22098.1</v>
      </c>
      <c r="G29" s="169">
        <f>G9-G18</f>
        <v>18870</v>
      </c>
      <c r="H29" s="169">
        <f>H9-H18</f>
        <v>10920</v>
      </c>
      <c r="I29" s="169">
        <f>I9-I18</f>
        <v>10920</v>
      </c>
    </row>
    <row r="30" spans="1:9" ht="30" customHeight="1">
      <c r="A30" s="166" t="s">
        <v>21</v>
      </c>
      <c r="B30" s="167">
        <v>1030</v>
      </c>
      <c r="C30" s="169">
        <f>C31+C32+C33+C34+C35+C36+C38+C37+C39+C41+C42+C43+C44+C45+C46+C47+C48+C52+C40+C49+C50+C51+C65</f>
        <v>8057.2699999999995</v>
      </c>
      <c r="D30" s="169">
        <f>D31+D32+D33+D34+D35+D36+D38+D37+D39+D41+D42+D43+D44+D45+D46+D47+D48+D52+D40+D49+D50+D51</f>
        <v>9376.93</v>
      </c>
      <c r="E30" s="169">
        <f>F30+G30+H30+I30</f>
        <v>9937.349999999999</v>
      </c>
      <c r="F30" s="169">
        <f>F31+F32+F33+F34+F35+F36+F38+F37+F39+F41+F42+F43+F44+F45+F46+F47+F48+F52+F40+F49+F50+F51</f>
        <v>2365.3700000000003</v>
      </c>
      <c r="G30" s="169">
        <f>G31+G32+G33+G34+G35+G36+G38+G37+G39+G41+G42+G43+G44+G45+G46+G47+G48+G52+G40+G49+G50+G51</f>
        <v>2452.29</v>
      </c>
      <c r="H30" s="169">
        <f>H31+H32+H33+H34+H35+H36+H38+H37+H39+H41+H42+H43+H44+H45+H46+H47+H48+H52+H40+H49+H50+H51</f>
        <v>2459.89</v>
      </c>
      <c r="I30" s="169">
        <f>I31+I32+I33+I34+I35+I36+I38+I37+I39+I41+I42+I43+I44+I45+I46+I47+I48+I52+I40+I49+I50+I51</f>
        <v>2659.8</v>
      </c>
    </row>
    <row r="31" spans="1:9" ht="52.5" customHeight="1">
      <c r="A31" s="166" t="s">
        <v>22</v>
      </c>
      <c r="B31" s="167">
        <v>1031</v>
      </c>
      <c r="C31" s="171">
        <v>26.2</v>
      </c>
      <c r="D31" s="171">
        <v>40</v>
      </c>
      <c r="E31" s="169">
        <f>F31+G31+H31+I31</f>
        <v>32</v>
      </c>
      <c r="F31" s="171">
        <v>7.5</v>
      </c>
      <c r="G31" s="171">
        <v>7.5</v>
      </c>
      <c r="H31" s="171">
        <v>7.5</v>
      </c>
      <c r="I31" s="171">
        <v>9.5</v>
      </c>
    </row>
    <row r="32" spans="1:9" ht="37.5" customHeight="1">
      <c r="A32" s="166" t="s">
        <v>23</v>
      </c>
      <c r="B32" s="167">
        <v>1032</v>
      </c>
      <c r="C32" s="171"/>
      <c r="D32" s="171"/>
      <c r="E32" s="169"/>
      <c r="F32" s="171"/>
      <c r="G32" s="171"/>
      <c r="H32" s="171"/>
      <c r="I32" s="171"/>
    </row>
    <row r="33" spans="1:9" ht="31.5">
      <c r="A33" s="166" t="s">
        <v>24</v>
      </c>
      <c r="B33" s="167">
        <v>1033</v>
      </c>
      <c r="C33" s="171"/>
      <c r="D33" s="171"/>
      <c r="E33" s="169"/>
      <c r="F33" s="171"/>
      <c r="G33" s="171"/>
      <c r="H33" s="171"/>
      <c r="I33" s="171"/>
    </row>
    <row r="34" spans="1:9" ht="21.75" customHeight="1">
      <c r="A34" s="166" t="s">
        <v>25</v>
      </c>
      <c r="B34" s="167">
        <v>1034</v>
      </c>
      <c r="C34" s="171">
        <v>4.32</v>
      </c>
      <c r="D34" s="171"/>
      <c r="E34" s="169"/>
      <c r="F34" s="171"/>
      <c r="G34" s="171"/>
      <c r="H34" s="171"/>
      <c r="I34" s="171"/>
    </row>
    <row r="35" spans="1:9" ht="31.5">
      <c r="A35" s="166" t="s">
        <v>26</v>
      </c>
      <c r="B35" s="167">
        <v>1035</v>
      </c>
      <c r="C35" s="171"/>
      <c r="D35" s="171"/>
      <c r="E35" s="169"/>
      <c r="F35" s="171"/>
      <c r="G35" s="171"/>
      <c r="H35" s="171"/>
      <c r="I35" s="171"/>
    </row>
    <row r="36" spans="1:9" ht="31.5">
      <c r="A36" s="166" t="s">
        <v>27</v>
      </c>
      <c r="B36" s="167">
        <v>1036</v>
      </c>
      <c r="C36" s="171">
        <v>8.2</v>
      </c>
      <c r="D36" s="171">
        <v>30</v>
      </c>
      <c r="E36" s="169">
        <f>F36+G36+H36+I36</f>
        <v>15</v>
      </c>
      <c r="F36" s="171">
        <v>2</v>
      </c>
      <c r="G36" s="171">
        <v>3</v>
      </c>
      <c r="H36" s="171">
        <v>5</v>
      </c>
      <c r="I36" s="171">
        <v>5</v>
      </c>
    </row>
    <row r="37" spans="1:9" ht="21.75" customHeight="1">
      <c r="A37" s="166" t="s">
        <v>28</v>
      </c>
      <c r="B37" s="167">
        <v>1037</v>
      </c>
      <c r="C37" s="171">
        <v>103.1</v>
      </c>
      <c r="D37" s="171">
        <v>130.35</v>
      </c>
      <c r="E37" s="169">
        <f>F37+G37+H37+I37</f>
        <v>130.35</v>
      </c>
      <c r="F37" s="171">
        <v>32.15</v>
      </c>
      <c r="G37" s="171">
        <v>32.2</v>
      </c>
      <c r="H37" s="171">
        <v>33</v>
      </c>
      <c r="I37" s="171">
        <v>33</v>
      </c>
    </row>
    <row r="38" spans="1:9" ht="21.75" customHeight="1">
      <c r="A38" s="166" t="s">
        <v>29</v>
      </c>
      <c r="B38" s="167">
        <v>1038</v>
      </c>
      <c r="C38" s="171">
        <v>4549.9</v>
      </c>
      <c r="D38" s="171">
        <v>5950</v>
      </c>
      <c r="E38" s="169">
        <f>F38+G38+H38+I38</f>
        <v>7550</v>
      </c>
      <c r="F38" s="172">
        <v>1850</v>
      </c>
      <c r="G38" s="172">
        <v>1850</v>
      </c>
      <c r="H38" s="172">
        <v>1850</v>
      </c>
      <c r="I38" s="172">
        <v>2000</v>
      </c>
    </row>
    <row r="39" spans="1:9" ht="19.5" customHeight="1">
      <c r="A39" s="166" t="s">
        <v>30</v>
      </c>
      <c r="B39" s="167">
        <v>1039</v>
      </c>
      <c r="C39" s="171">
        <v>955.36</v>
      </c>
      <c r="D39" s="171">
        <v>1287.07</v>
      </c>
      <c r="E39" s="169">
        <f>F39+G39+H39+I39</f>
        <v>1655.9999999999998</v>
      </c>
      <c r="F39" s="171">
        <f>F38*21.94/100-0.47</f>
        <v>405.41999999999996</v>
      </c>
      <c r="G39" s="171">
        <f>G38*21.94/100</f>
        <v>405.89</v>
      </c>
      <c r="H39" s="171">
        <f>H38*21.94/100</f>
        <v>405.89</v>
      </c>
      <c r="I39" s="171">
        <f>I38*21.94/100</f>
        <v>438.8</v>
      </c>
    </row>
    <row r="40" spans="1:9" ht="63">
      <c r="A40" s="166" t="s">
        <v>314</v>
      </c>
      <c r="B40" s="167">
        <v>1040</v>
      </c>
      <c r="C40" s="171">
        <f>1618.13+88.7</f>
        <v>1706.8300000000002</v>
      </c>
      <c r="D40" s="171">
        <f>1443.6+82.71</f>
        <v>1526.31</v>
      </c>
      <c r="E40" s="169">
        <f>F40+G40+H40+I40</f>
        <v>218</v>
      </c>
      <c r="F40" s="172">
        <f>11.5</f>
        <v>11.5</v>
      </c>
      <c r="G40" s="172">
        <f>11.5+50</f>
        <v>61.5</v>
      </c>
      <c r="H40" s="172">
        <f>11+61</f>
        <v>72</v>
      </c>
      <c r="I40" s="172">
        <f>11+62</f>
        <v>73</v>
      </c>
    </row>
    <row r="41" spans="1:9" ht="62.25" customHeight="1">
      <c r="A41" s="166" t="s">
        <v>31</v>
      </c>
      <c r="B41" s="167">
        <v>1041</v>
      </c>
      <c r="C41" s="171"/>
      <c r="D41" s="171"/>
      <c r="E41" s="171"/>
      <c r="F41" s="171"/>
      <c r="G41" s="171"/>
      <c r="H41" s="171"/>
      <c r="I41" s="171"/>
    </row>
    <row r="42" spans="1:9" ht="54" customHeight="1">
      <c r="A42" s="166" t="s">
        <v>32</v>
      </c>
      <c r="B42" s="167">
        <v>1042</v>
      </c>
      <c r="C42" s="171"/>
      <c r="D42" s="171"/>
      <c r="E42" s="171"/>
      <c r="F42" s="171"/>
      <c r="G42" s="171"/>
      <c r="H42" s="171"/>
      <c r="I42" s="171"/>
    </row>
    <row r="43" spans="1:9" ht="47.25">
      <c r="A43" s="166" t="s">
        <v>33</v>
      </c>
      <c r="B43" s="167">
        <v>1043</v>
      </c>
      <c r="C43" s="171"/>
      <c r="D43" s="171"/>
      <c r="E43" s="171"/>
      <c r="F43" s="171"/>
      <c r="G43" s="171"/>
      <c r="H43" s="171"/>
      <c r="I43" s="171"/>
    </row>
    <row r="44" spans="1:9" ht="15.75">
      <c r="A44" s="166" t="s">
        <v>34</v>
      </c>
      <c r="B44" s="167">
        <v>1044</v>
      </c>
      <c r="C44" s="171"/>
      <c r="D44" s="171"/>
      <c r="E44" s="171"/>
      <c r="F44" s="171"/>
      <c r="G44" s="171"/>
      <c r="H44" s="171"/>
      <c r="I44" s="171"/>
    </row>
    <row r="45" spans="1:9" ht="31.5">
      <c r="A45" s="166" t="s">
        <v>35</v>
      </c>
      <c r="B45" s="167">
        <v>1045</v>
      </c>
      <c r="C45" s="171">
        <v>2.6</v>
      </c>
      <c r="D45" s="171"/>
      <c r="E45" s="171"/>
      <c r="F45" s="171"/>
      <c r="G45" s="171"/>
      <c r="H45" s="171"/>
      <c r="I45" s="171"/>
    </row>
    <row r="46" spans="1:9" ht="21" customHeight="1">
      <c r="A46" s="166" t="s">
        <v>36</v>
      </c>
      <c r="B46" s="167">
        <v>1046</v>
      </c>
      <c r="C46" s="171">
        <v>3</v>
      </c>
      <c r="D46" s="171">
        <v>15</v>
      </c>
      <c r="E46" s="169">
        <f>F46+G46+H46+I46</f>
        <v>10</v>
      </c>
      <c r="F46" s="171">
        <v>2</v>
      </c>
      <c r="G46" s="171">
        <v>2</v>
      </c>
      <c r="H46" s="171">
        <v>3</v>
      </c>
      <c r="I46" s="171">
        <v>3</v>
      </c>
    </row>
    <row r="47" spans="1:9" ht="21.75" customHeight="1">
      <c r="A47" s="166" t="s">
        <v>37</v>
      </c>
      <c r="B47" s="167">
        <v>1047</v>
      </c>
      <c r="C47" s="171"/>
      <c r="D47" s="171"/>
      <c r="E47" s="171"/>
      <c r="F47" s="171"/>
      <c r="G47" s="171"/>
      <c r="H47" s="171"/>
      <c r="I47" s="171"/>
    </row>
    <row r="48" spans="1:9" ht="47.25">
      <c r="A48" s="166" t="s">
        <v>38</v>
      </c>
      <c r="B48" s="167">
        <v>1048</v>
      </c>
      <c r="C48" s="171"/>
      <c r="D48" s="171"/>
      <c r="E48" s="171"/>
      <c r="F48" s="171"/>
      <c r="G48" s="171"/>
      <c r="H48" s="171"/>
      <c r="I48" s="171"/>
    </row>
    <row r="49" spans="1:9" ht="48" customHeight="1">
      <c r="A49" s="166" t="s">
        <v>39</v>
      </c>
      <c r="B49" s="167">
        <v>1049</v>
      </c>
      <c r="C49" s="171"/>
      <c r="D49" s="171"/>
      <c r="E49" s="171"/>
      <c r="F49" s="171"/>
      <c r="G49" s="171"/>
      <c r="H49" s="171"/>
      <c r="I49" s="171"/>
    </row>
    <row r="50" spans="1:9" ht="75" customHeight="1">
      <c r="A50" s="166" t="s">
        <v>40</v>
      </c>
      <c r="B50" s="167">
        <v>1050</v>
      </c>
      <c r="C50" s="171"/>
      <c r="D50" s="171"/>
      <c r="E50" s="171"/>
      <c r="F50" s="171"/>
      <c r="G50" s="171"/>
      <c r="H50" s="171"/>
      <c r="I50" s="171"/>
    </row>
    <row r="51" spans="1:9" ht="34.5" customHeight="1">
      <c r="A51" s="166" t="s">
        <v>41</v>
      </c>
      <c r="B51" s="175" t="s">
        <v>42</v>
      </c>
      <c r="C51" s="171"/>
      <c r="D51" s="171"/>
      <c r="E51" s="171"/>
      <c r="F51" s="171"/>
      <c r="G51" s="171"/>
      <c r="H51" s="171"/>
      <c r="I51" s="171"/>
    </row>
    <row r="52" spans="1:9" ht="44.25" customHeight="1">
      <c r="A52" s="166" t="s">
        <v>43</v>
      </c>
      <c r="B52" s="167">
        <v>1051</v>
      </c>
      <c r="C52" s="171">
        <f aca="true" t="shared" si="2" ref="C52:I52">C53+C54+C55</f>
        <v>258.44</v>
      </c>
      <c r="D52" s="169">
        <f t="shared" si="2"/>
        <v>398.20000000000005</v>
      </c>
      <c r="E52" s="169">
        <f t="shared" si="2"/>
        <v>326</v>
      </c>
      <c r="F52" s="169">
        <f t="shared" si="2"/>
        <v>54.8</v>
      </c>
      <c r="G52" s="169">
        <f t="shared" si="2"/>
        <v>90.2</v>
      </c>
      <c r="H52" s="169">
        <f t="shared" si="2"/>
        <v>83.5</v>
      </c>
      <c r="I52" s="169">
        <f t="shared" si="2"/>
        <v>97.5</v>
      </c>
    </row>
    <row r="53" spans="1:9" ht="163.5" customHeight="1">
      <c r="A53" s="166" t="s">
        <v>284</v>
      </c>
      <c r="B53" s="167" t="s">
        <v>188</v>
      </c>
      <c r="C53" s="171">
        <f>55.23+1.8+2.64+2.4+46.25+24.23</f>
        <v>132.54999999999998</v>
      </c>
      <c r="D53" s="171">
        <f>22.8+5+1.2+26+25.6+12</f>
        <v>92.6</v>
      </c>
      <c r="E53" s="169">
        <f>F53+G53+H53+I53</f>
        <v>68</v>
      </c>
      <c r="F53" s="171">
        <v>12.8</v>
      </c>
      <c r="G53" s="171">
        <v>18.2</v>
      </c>
      <c r="H53" s="171">
        <v>16.5</v>
      </c>
      <c r="I53" s="171">
        <v>20.5</v>
      </c>
    </row>
    <row r="54" spans="1:9" ht="30.75" customHeight="1">
      <c r="A54" s="166" t="s">
        <v>245</v>
      </c>
      <c r="B54" s="167" t="s">
        <v>189</v>
      </c>
      <c r="C54" s="171">
        <v>26.5</v>
      </c>
      <c r="D54" s="171">
        <v>48</v>
      </c>
      <c r="E54" s="169">
        <f>F54+G54+H54+I54</f>
        <v>48</v>
      </c>
      <c r="F54" s="171">
        <v>12</v>
      </c>
      <c r="G54" s="171">
        <v>12</v>
      </c>
      <c r="H54" s="171">
        <v>12</v>
      </c>
      <c r="I54" s="171">
        <v>12</v>
      </c>
    </row>
    <row r="55" spans="1:9" ht="150" customHeight="1">
      <c r="A55" s="166" t="s">
        <v>282</v>
      </c>
      <c r="B55" s="167" t="s">
        <v>190</v>
      </c>
      <c r="C55" s="171">
        <f>1.5+3.27+94.14+0.48</f>
        <v>99.39</v>
      </c>
      <c r="D55" s="171">
        <f>67+18+61.6+104+7</f>
        <v>257.6</v>
      </c>
      <c r="E55" s="169">
        <f>F55+G55+H55+I55</f>
        <v>210</v>
      </c>
      <c r="F55" s="171">
        <v>30</v>
      </c>
      <c r="G55" s="171">
        <v>60</v>
      </c>
      <c r="H55" s="171">
        <v>55</v>
      </c>
      <c r="I55" s="171">
        <v>65</v>
      </c>
    </row>
    <row r="56" spans="1:9" ht="22.5" customHeight="1">
      <c r="A56" s="166" t="s">
        <v>44</v>
      </c>
      <c r="B56" s="167">
        <v>1060</v>
      </c>
      <c r="C56" s="171"/>
      <c r="D56" s="171"/>
      <c r="E56" s="171"/>
      <c r="F56" s="171"/>
      <c r="G56" s="171"/>
      <c r="H56" s="171"/>
      <c r="I56" s="171"/>
    </row>
    <row r="57" spans="1:9" ht="26.25" customHeight="1">
      <c r="A57" s="166" t="s">
        <v>45</v>
      </c>
      <c r="B57" s="167">
        <v>1061</v>
      </c>
      <c r="C57" s="171"/>
      <c r="D57" s="171"/>
      <c r="E57" s="171"/>
      <c r="F57" s="171"/>
      <c r="G57" s="171"/>
      <c r="H57" s="171"/>
      <c r="I57" s="171"/>
    </row>
    <row r="58" spans="1:9" ht="31.5">
      <c r="A58" s="166" t="s">
        <v>46</v>
      </c>
      <c r="B58" s="167">
        <v>1062</v>
      </c>
      <c r="C58" s="171"/>
      <c r="D58" s="171"/>
      <c r="E58" s="171"/>
      <c r="F58" s="171"/>
      <c r="G58" s="171"/>
      <c r="H58" s="171"/>
      <c r="I58" s="171"/>
    </row>
    <row r="59" spans="1:9" ht="19.5" customHeight="1">
      <c r="A59" s="166" t="s">
        <v>29</v>
      </c>
      <c r="B59" s="167">
        <v>1063</v>
      </c>
      <c r="C59" s="171"/>
      <c r="D59" s="171"/>
      <c r="E59" s="171"/>
      <c r="F59" s="171"/>
      <c r="G59" s="171"/>
      <c r="H59" s="171"/>
      <c r="I59" s="171"/>
    </row>
    <row r="60" spans="1:9" ht="18.75" customHeight="1">
      <c r="A60" s="166" t="s">
        <v>30</v>
      </c>
      <c r="B60" s="167">
        <v>1064</v>
      </c>
      <c r="C60" s="171"/>
      <c r="D60" s="171"/>
      <c r="E60" s="171"/>
      <c r="F60" s="171"/>
      <c r="G60" s="171"/>
      <c r="H60" s="171"/>
      <c r="I60" s="171"/>
    </row>
    <row r="61" spans="1:9" ht="38.25" customHeight="1">
      <c r="A61" s="166" t="s">
        <v>47</v>
      </c>
      <c r="B61" s="167">
        <v>1065</v>
      </c>
      <c r="C61" s="171"/>
      <c r="D61" s="171"/>
      <c r="E61" s="171"/>
      <c r="F61" s="171"/>
      <c r="G61" s="171"/>
      <c r="H61" s="171"/>
      <c r="I61" s="171"/>
    </row>
    <row r="62" spans="1:9" ht="19.5" customHeight="1">
      <c r="A62" s="166" t="s">
        <v>48</v>
      </c>
      <c r="B62" s="167">
        <v>1066</v>
      </c>
      <c r="C62" s="171"/>
      <c r="D62" s="171"/>
      <c r="E62" s="171"/>
      <c r="F62" s="171"/>
      <c r="G62" s="171"/>
      <c r="H62" s="171"/>
      <c r="I62" s="171"/>
    </row>
    <row r="63" spans="1:9" ht="29.25" customHeight="1">
      <c r="A63" s="166" t="s">
        <v>49</v>
      </c>
      <c r="B63" s="167">
        <v>1067</v>
      </c>
      <c r="C63" s="171"/>
      <c r="D63" s="171"/>
      <c r="E63" s="171"/>
      <c r="F63" s="171"/>
      <c r="G63" s="171"/>
      <c r="H63" s="171"/>
      <c r="I63" s="171"/>
    </row>
    <row r="64" spans="1:9" ht="30" customHeight="1">
      <c r="A64" s="166" t="s">
        <v>142</v>
      </c>
      <c r="B64" s="167">
        <v>1070</v>
      </c>
      <c r="C64" s="171"/>
      <c r="D64" s="171"/>
      <c r="E64" s="171"/>
      <c r="F64" s="171"/>
      <c r="G64" s="171"/>
      <c r="H64" s="171"/>
      <c r="I64" s="171"/>
    </row>
    <row r="65" spans="1:9" ht="33.75" customHeight="1">
      <c r="A65" s="176" t="s">
        <v>50</v>
      </c>
      <c r="B65" s="167">
        <v>1080</v>
      </c>
      <c r="C65" s="171">
        <v>439.32</v>
      </c>
      <c r="D65" s="171"/>
      <c r="E65" s="171"/>
      <c r="F65" s="171"/>
      <c r="G65" s="171"/>
      <c r="H65" s="171"/>
      <c r="I65" s="171"/>
    </row>
    <row r="66" spans="1:9" ht="40.5" customHeight="1">
      <c r="A66" s="166" t="s">
        <v>51</v>
      </c>
      <c r="B66" s="177">
        <v>1100</v>
      </c>
      <c r="C66" s="169"/>
      <c r="D66" s="169"/>
      <c r="E66" s="169"/>
      <c r="F66" s="169"/>
      <c r="G66" s="169"/>
      <c r="H66" s="169"/>
      <c r="I66" s="169"/>
    </row>
    <row r="67" spans="1:9" ht="31.5">
      <c r="A67" s="166" t="s">
        <v>52</v>
      </c>
      <c r="B67" s="167">
        <v>1110</v>
      </c>
      <c r="C67" s="171"/>
      <c r="D67" s="171"/>
      <c r="E67" s="171"/>
      <c r="F67" s="171"/>
      <c r="G67" s="171"/>
      <c r="H67" s="171"/>
      <c r="I67" s="171"/>
    </row>
    <row r="68" spans="1:9" ht="31.5">
      <c r="A68" s="166" t="s">
        <v>53</v>
      </c>
      <c r="B68" s="167">
        <v>1120</v>
      </c>
      <c r="C68" s="171"/>
      <c r="D68" s="171"/>
      <c r="E68" s="171"/>
      <c r="F68" s="171"/>
      <c r="G68" s="171"/>
      <c r="H68" s="171"/>
      <c r="I68" s="171"/>
    </row>
    <row r="69" spans="1:9" ht="31.5">
      <c r="A69" s="166" t="s">
        <v>54</v>
      </c>
      <c r="B69" s="167">
        <v>1130</v>
      </c>
      <c r="C69" s="171"/>
      <c r="D69" s="171"/>
      <c r="E69" s="171"/>
      <c r="F69" s="171"/>
      <c r="G69" s="171"/>
      <c r="H69" s="171"/>
      <c r="I69" s="171"/>
    </row>
    <row r="70" spans="1:9" ht="31.5">
      <c r="A70" s="166" t="s">
        <v>55</v>
      </c>
      <c r="B70" s="167">
        <v>1140</v>
      </c>
      <c r="C70" s="171"/>
      <c r="D70" s="171"/>
      <c r="E70" s="171"/>
      <c r="F70" s="171"/>
      <c r="G70" s="171"/>
      <c r="H70" s="171"/>
      <c r="I70" s="171"/>
    </row>
    <row r="71" spans="1:9" ht="21" customHeight="1">
      <c r="A71" s="166" t="s">
        <v>175</v>
      </c>
      <c r="B71" s="167">
        <v>1150</v>
      </c>
      <c r="C71" s="169">
        <f>C73+C74+C75+C76+C78+C77+C72</f>
        <v>57226.759999999995</v>
      </c>
      <c r="D71" s="169">
        <f aca="true" t="shared" si="3" ref="D71:I71">D73+D74+D75+D76+D78+D77+D72</f>
        <v>55865.53</v>
      </c>
      <c r="E71" s="169">
        <f t="shared" si="3"/>
        <v>47461.32</v>
      </c>
      <c r="F71" s="169">
        <f>F73+F74+F75+F76+F78+F77+F72</f>
        <v>8466.41</v>
      </c>
      <c r="G71" s="169">
        <f t="shared" si="3"/>
        <v>9713.02</v>
      </c>
      <c r="H71" s="169">
        <f t="shared" si="3"/>
        <v>14137.09</v>
      </c>
      <c r="I71" s="169">
        <f t="shared" si="3"/>
        <v>15144.8</v>
      </c>
    </row>
    <row r="72" spans="1:9" ht="33" customHeight="1">
      <c r="A72" s="170" t="s">
        <v>274</v>
      </c>
      <c r="B72" s="167" t="s">
        <v>223</v>
      </c>
      <c r="C72" s="171"/>
      <c r="D72" s="171">
        <v>7294.1</v>
      </c>
      <c r="E72" s="171">
        <f aca="true" t="shared" si="4" ref="E72:E78">F72+G72+H72+I72</f>
        <v>0</v>
      </c>
      <c r="F72" s="171"/>
      <c r="G72" s="171"/>
      <c r="H72" s="171"/>
      <c r="I72" s="171"/>
    </row>
    <row r="73" spans="1:9" ht="117.75" customHeight="1">
      <c r="A73" s="166" t="s">
        <v>313</v>
      </c>
      <c r="B73" s="167" t="s">
        <v>226</v>
      </c>
      <c r="C73" s="171">
        <v>55396.7</v>
      </c>
      <c r="D73" s="171">
        <v>34158.12</v>
      </c>
      <c r="E73" s="169">
        <f t="shared" si="4"/>
        <v>34938.32</v>
      </c>
      <c r="F73" s="171">
        <v>6084.91</v>
      </c>
      <c r="G73" s="171">
        <v>6098.52</v>
      </c>
      <c r="H73" s="171">
        <v>10523.09</v>
      </c>
      <c r="I73" s="171">
        <v>12231.8</v>
      </c>
    </row>
    <row r="74" spans="1:9" ht="33.75" customHeight="1">
      <c r="A74" s="166" t="s">
        <v>270</v>
      </c>
      <c r="B74" s="167" t="s">
        <v>225</v>
      </c>
      <c r="C74" s="171">
        <v>1061.4</v>
      </c>
      <c r="D74" s="171">
        <v>1300</v>
      </c>
      <c r="E74" s="169">
        <f t="shared" si="4"/>
        <v>1400</v>
      </c>
      <c r="F74" s="171">
        <v>340</v>
      </c>
      <c r="G74" s="171">
        <v>340</v>
      </c>
      <c r="H74" s="171">
        <v>360</v>
      </c>
      <c r="I74" s="171">
        <v>360</v>
      </c>
    </row>
    <row r="75" spans="1:9" ht="31.5" customHeight="1">
      <c r="A75" s="170" t="s">
        <v>210</v>
      </c>
      <c r="B75" s="167" t="s">
        <v>227</v>
      </c>
      <c r="C75" s="171">
        <v>45</v>
      </c>
      <c r="D75" s="171">
        <v>55</v>
      </c>
      <c r="E75" s="169">
        <f t="shared" si="4"/>
        <v>40</v>
      </c>
      <c r="F75" s="171"/>
      <c r="G75" s="171">
        <v>40</v>
      </c>
      <c r="H75" s="171"/>
      <c r="I75" s="171"/>
    </row>
    <row r="76" spans="1:9" ht="52.5" customHeight="1">
      <c r="A76" s="170" t="s">
        <v>216</v>
      </c>
      <c r="B76" s="167" t="s">
        <v>228</v>
      </c>
      <c r="C76" s="171">
        <v>659.54</v>
      </c>
      <c r="D76" s="171">
        <v>11500</v>
      </c>
      <c r="E76" s="169">
        <f t="shared" si="4"/>
        <v>8200</v>
      </c>
      <c r="F76" s="172">
        <v>1400</v>
      </c>
      <c r="G76" s="172">
        <v>2500</v>
      </c>
      <c r="H76" s="172">
        <v>2500</v>
      </c>
      <c r="I76" s="172">
        <v>1800</v>
      </c>
    </row>
    <row r="77" spans="1:9" ht="40.5" customHeight="1">
      <c r="A77" s="170" t="s">
        <v>255</v>
      </c>
      <c r="B77" s="167" t="s">
        <v>224</v>
      </c>
      <c r="C77" s="171">
        <v>32.52</v>
      </c>
      <c r="D77" s="171">
        <v>32</v>
      </c>
      <c r="E77" s="169">
        <f t="shared" si="4"/>
        <v>75</v>
      </c>
      <c r="F77" s="171">
        <v>10</v>
      </c>
      <c r="G77" s="171">
        <v>22</v>
      </c>
      <c r="H77" s="171">
        <v>22</v>
      </c>
      <c r="I77" s="171">
        <v>21</v>
      </c>
    </row>
    <row r="78" spans="1:9" ht="81.75" customHeight="1">
      <c r="A78" s="170" t="s">
        <v>219</v>
      </c>
      <c r="B78" s="167" t="s">
        <v>256</v>
      </c>
      <c r="C78" s="171">
        <v>31.6</v>
      </c>
      <c r="D78" s="171">
        <f>1443.6+82.71</f>
        <v>1526.31</v>
      </c>
      <c r="E78" s="169">
        <f t="shared" si="4"/>
        <v>2808</v>
      </c>
      <c r="F78" s="172">
        <f>11.5+205+415</f>
        <v>631.5</v>
      </c>
      <c r="G78" s="172">
        <f>11.5+50+205+30+416</f>
        <v>712.5</v>
      </c>
      <c r="H78" s="172">
        <f>11+61+205+39+416</f>
        <v>732</v>
      </c>
      <c r="I78" s="172">
        <f>11+62+205+416+38</f>
        <v>732</v>
      </c>
    </row>
    <row r="79" spans="1:9" ht="26.25" customHeight="1">
      <c r="A79" s="166" t="s">
        <v>19</v>
      </c>
      <c r="B79" s="167">
        <v>1160</v>
      </c>
      <c r="C79" s="169">
        <f>C89+C80+C81+C82+C83+C84+C85+C86+C87+C88+C92+C90</f>
        <v>51318.30999999999</v>
      </c>
      <c r="D79" s="169">
        <f>D89+D80+D81+D82+D83+D84+D85+D86+D87+D88+D92</f>
        <v>87736.40000000001</v>
      </c>
      <c r="E79" s="169">
        <f>E89+E80+E81+E82+E83+E84+E85+E86+E87+E88+E92+E90+E91</f>
        <v>100332.07</v>
      </c>
      <c r="F79" s="169">
        <f>F89+F80+F81+F82+F83+F84+F85+F86+F87+F88+F92+F90+F91</f>
        <v>28199.139999999996</v>
      </c>
      <c r="G79" s="169">
        <f>G89+G80+G81+G82+G83+G84+G85+G86+G87+G88+G92+G90+G91</f>
        <v>26130.730000000003</v>
      </c>
      <c r="H79" s="169">
        <f>H89+H80+H81+H82+H83+H84+H85+H86+H87+H88+H92+H90+H91</f>
        <v>22597.2</v>
      </c>
      <c r="I79" s="169">
        <f>I89+I80+I81+I82+I83+I84+I85+I86+I87+I88+I92+I90+I91</f>
        <v>23405</v>
      </c>
    </row>
    <row r="80" spans="1:9" ht="33.75" customHeight="1">
      <c r="A80" s="166" t="s">
        <v>209</v>
      </c>
      <c r="B80" s="167" t="s">
        <v>229</v>
      </c>
      <c r="C80" s="171">
        <v>1061.4</v>
      </c>
      <c r="D80" s="171">
        <v>1300</v>
      </c>
      <c r="E80" s="169">
        <f>F80+G80+H80+I80</f>
        <v>1400</v>
      </c>
      <c r="F80" s="171">
        <v>340</v>
      </c>
      <c r="G80" s="171">
        <v>340</v>
      </c>
      <c r="H80" s="171">
        <v>360</v>
      </c>
      <c r="I80" s="171">
        <v>360</v>
      </c>
    </row>
    <row r="81" spans="1:9" ht="50.25" customHeight="1">
      <c r="A81" s="170" t="s">
        <v>211</v>
      </c>
      <c r="B81" s="167" t="s">
        <v>235</v>
      </c>
      <c r="C81" s="171">
        <v>45</v>
      </c>
      <c r="D81" s="171">
        <v>55</v>
      </c>
      <c r="E81" s="169">
        <f>F81+G81+H81+I81</f>
        <v>40</v>
      </c>
      <c r="F81" s="171"/>
      <c r="G81" s="171">
        <v>40</v>
      </c>
      <c r="H81" s="171"/>
      <c r="I81" s="171"/>
    </row>
    <row r="82" spans="1:9" ht="23.25" customHeight="1">
      <c r="A82" s="166" t="s">
        <v>29</v>
      </c>
      <c r="B82" s="167" t="s">
        <v>230</v>
      </c>
      <c r="C82" s="171">
        <v>33188</v>
      </c>
      <c r="D82" s="171">
        <v>45295.5</v>
      </c>
      <c r="E82" s="169">
        <f aca="true" t="shared" si="5" ref="E82:E87">F82+G82+H82+I82</f>
        <v>57234.2</v>
      </c>
      <c r="F82" s="171">
        <f>14323.75+705.6+2646-245.9</f>
        <v>17429.449999999997</v>
      </c>
      <c r="G82" s="171">
        <f>15783.75-352.8-245.9</f>
        <v>15185.050000000001</v>
      </c>
      <c r="H82" s="171">
        <f>11423.75</f>
        <v>11423.75</v>
      </c>
      <c r="I82" s="171">
        <f>13548.75-352.8</f>
        <v>13195.95</v>
      </c>
    </row>
    <row r="83" spans="1:9" ht="25.5" customHeight="1">
      <c r="A83" s="166" t="s">
        <v>30</v>
      </c>
      <c r="B83" s="167" t="s">
        <v>236</v>
      </c>
      <c r="C83" s="171">
        <v>7180.1</v>
      </c>
      <c r="D83" s="171">
        <v>9763.61</v>
      </c>
      <c r="E83" s="169">
        <f t="shared" si="5"/>
        <v>12555.920000000002</v>
      </c>
      <c r="F83" s="171">
        <f>ROUND(F82*21.935/100,2)+1.54</f>
        <v>3824.69</v>
      </c>
      <c r="G83" s="171">
        <f>ROUND(G82*21.935/100,2)-0.16</f>
        <v>3330.6800000000003</v>
      </c>
      <c r="H83" s="171">
        <f>ROUND(H82*21.935/100,2)</f>
        <v>2505.8</v>
      </c>
      <c r="I83" s="171">
        <f>ROUND(I82*21.935/100,2)+0.22</f>
        <v>2894.75</v>
      </c>
    </row>
    <row r="84" spans="1:9" ht="31.5">
      <c r="A84" s="166" t="s">
        <v>212</v>
      </c>
      <c r="B84" s="167" t="s">
        <v>232</v>
      </c>
      <c r="C84" s="171">
        <v>3424</v>
      </c>
      <c r="D84" s="171">
        <v>10555</v>
      </c>
      <c r="E84" s="169">
        <f t="shared" si="5"/>
        <v>7300</v>
      </c>
      <c r="F84" s="171">
        <f>1450+250</f>
        <v>1700</v>
      </c>
      <c r="G84" s="171">
        <f>1450+250</f>
        <v>1700</v>
      </c>
      <c r="H84" s="171">
        <v>2100</v>
      </c>
      <c r="I84" s="171">
        <v>1800</v>
      </c>
    </row>
    <row r="85" spans="1:9" ht="15.75">
      <c r="A85" s="166" t="s">
        <v>213</v>
      </c>
      <c r="B85" s="167" t="s">
        <v>233</v>
      </c>
      <c r="C85" s="171">
        <v>1138.7</v>
      </c>
      <c r="D85" s="171">
        <v>1723.98</v>
      </c>
      <c r="E85" s="169">
        <f>F85+G85+H85+I85</f>
        <v>1500</v>
      </c>
      <c r="F85" s="171">
        <v>250</v>
      </c>
      <c r="G85" s="171">
        <v>410</v>
      </c>
      <c r="H85" s="171">
        <v>410</v>
      </c>
      <c r="I85" s="171">
        <v>430</v>
      </c>
    </row>
    <row r="86" spans="1:9" ht="31.5">
      <c r="A86" s="166" t="s">
        <v>214</v>
      </c>
      <c r="B86" s="167" t="s">
        <v>237</v>
      </c>
      <c r="C86" s="171">
        <v>3503.64</v>
      </c>
      <c r="D86" s="171">
        <v>5068.3</v>
      </c>
      <c r="E86" s="169">
        <f t="shared" si="5"/>
        <v>5874.8</v>
      </c>
      <c r="F86" s="171">
        <v>1757</v>
      </c>
      <c r="G86" s="171">
        <v>1226</v>
      </c>
      <c r="H86" s="171">
        <v>1248</v>
      </c>
      <c r="I86" s="171">
        <v>1643.8</v>
      </c>
    </row>
    <row r="87" spans="1:9" ht="31.5">
      <c r="A87" s="166" t="s">
        <v>286</v>
      </c>
      <c r="B87" s="167" t="s">
        <v>231</v>
      </c>
      <c r="C87" s="171">
        <v>494.1</v>
      </c>
      <c r="D87" s="171">
        <v>526</v>
      </c>
      <c r="E87" s="169">
        <f t="shared" si="5"/>
        <v>652.5</v>
      </c>
      <c r="F87" s="171">
        <v>163</v>
      </c>
      <c r="G87" s="171">
        <v>163</v>
      </c>
      <c r="H87" s="171">
        <v>163</v>
      </c>
      <c r="I87" s="171">
        <v>163.5</v>
      </c>
    </row>
    <row r="88" spans="1:9" ht="96" customHeight="1">
      <c r="A88" s="166" t="s">
        <v>283</v>
      </c>
      <c r="B88" s="167" t="s">
        <v>234</v>
      </c>
      <c r="C88" s="171">
        <v>535.79</v>
      </c>
      <c r="D88" s="171">
        <v>1139.86</v>
      </c>
      <c r="E88" s="169">
        <f>F88+G88+H88+I88</f>
        <v>958</v>
      </c>
      <c r="F88" s="171">
        <f>50+250</f>
        <v>300</v>
      </c>
      <c r="G88" s="171">
        <f>50+150</f>
        <v>200</v>
      </c>
      <c r="H88" s="171">
        <f>50+150</f>
        <v>200</v>
      </c>
      <c r="I88" s="171">
        <v>258</v>
      </c>
    </row>
    <row r="89" spans="1:9" ht="31.5">
      <c r="A89" s="166" t="s">
        <v>215</v>
      </c>
      <c r="B89" s="167" t="s">
        <v>238</v>
      </c>
      <c r="C89" s="171">
        <v>634.78</v>
      </c>
      <c r="D89" s="171">
        <v>809.15</v>
      </c>
      <c r="E89" s="169">
        <f>F89+G89+H89+I89</f>
        <v>1986.65</v>
      </c>
      <c r="F89" s="171">
        <v>410</v>
      </c>
      <c r="G89" s="171">
        <v>570</v>
      </c>
      <c r="H89" s="171">
        <v>511.65</v>
      </c>
      <c r="I89" s="171">
        <v>495</v>
      </c>
    </row>
    <row r="90" spans="1:9" ht="31.5">
      <c r="A90" s="170" t="s">
        <v>217</v>
      </c>
      <c r="B90" s="167" t="s">
        <v>239</v>
      </c>
      <c r="C90" s="171">
        <v>31.6</v>
      </c>
      <c r="D90" s="171"/>
      <c r="E90" s="169">
        <f>F90+G90+H90+I90</f>
        <v>40</v>
      </c>
      <c r="F90" s="171">
        <v>5</v>
      </c>
      <c r="G90" s="171">
        <v>15</v>
      </c>
      <c r="H90" s="171">
        <v>15</v>
      </c>
      <c r="I90" s="171">
        <v>5</v>
      </c>
    </row>
    <row r="91" spans="1:9" ht="31.5" customHeight="1">
      <c r="A91" s="170" t="s">
        <v>47</v>
      </c>
      <c r="B91" s="167" t="s">
        <v>240</v>
      </c>
      <c r="C91" s="171"/>
      <c r="D91" s="171"/>
      <c r="E91" s="169">
        <f>F91+G91+H91+I91</f>
        <v>2590</v>
      </c>
      <c r="F91" s="172">
        <f>205+415</f>
        <v>620</v>
      </c>
      <c r="G91" s="172">
        <f>205+30+416</f>
        <v>651</v>
      </c>
      <c r="H91" s="172">
        <f>205+39+416</f>
        <v>660</v>
      </c>
      <c r="I91" s="172">
        <f>205+416+38</f>
        <v>659</v>
      </c>
    </row>
    <row r="92" spans="1:9" ht="81" customHeight="1">
      <c r="A92" s="170" t="s">
        <v>287</v>
      </c>
      <c r="B92" s="167" t="s">
        <v>290</v>
      </c>
      <c r="C92" s="171">
        <v>81.2</v>
      </c>
      <c r="D92" s="172">
        <v>11500</v>
      </c>
      <c r="E92" s="168">
        <f>F92+G92+H92+I92</f>
        <v>8200</v>
      </c>
      <c r="F92" s="172">
        <v>1400</v>
      </c>
      <c r="G92" s="172">
        <v>2300</v>
      </c>
      <c r="H92" s="172">
        <v>3000</v>
      </c>
      <c r="I92" s="172">
        <v>1500</v>
      </c>
    </row>
    <row r="93" spans="1:9" ht="31.5" customHeight="1">
      <c r="A93" s="146" t="s">
        <v>56</v>
      </c>
      <c r="B93" s="143">
        <v>1170</v>
      </c>
      <c r="C93" s="169"/>
      <c r="D93" s="171">
        <f>D96</f>
        <v>0</v>
      </c>
      <c r="E93" s="145">
        <v>0</v>
      </c>
      <c r="F93" s="145">
        <f>F96</f>
        <v>0</v>
      </c>
      <c r="G93" s="145">
        <f>G96</f>
        <v>0</v>
      </c>
      <c r="H93" s="145">
        <f>H96</f>
        <v>0</v>
      </c>
      <c r="I93" s="145">
        <f>I96</f>
        <v>0</v>
      </c>
    </row>
    <row r="94" spans="1:9" ht="24.75" customHeight="1">
      <c r="A94" s="146" t="s">
        <v>57</v>
      </c>
      <c r="B94" s="141">
        <v>1180</v>
      </c>
      <c r="C94" s="171"/>
      <c r="D94" s="171"/>
      <c r="E94" s="144"/>
      <c r="F94" s="144"/>
      <c r="G94" s="144"/>
      <c r="H94" s="144"/>
      <c r="I94" s="144"/>
    </row>
    <row r="95" spans="1:9" ht="18" customHeight="1">
      <c r="A95" s="146" t="s">
        <v>58</v>
      </c>
      <c r="B95" s="141">
        <v>1181</v>
      </c>
      <c r="C95" s="171"/>
      <c r="D95" s="171"/>
      <c r="E95" s="144"/>
      <c r="F95" s="144"/>
      <c r="G95" s="144"/>
      <c r="H95" s="144"/>
      <c r="I95" s="144"/>
    </row>
    <row r="96" spans="1:9" ht="33.75" customHeight="1">
      <c r="A96" s="146" t="s">
        <v>59</v>
      </c>
      <c r="B96" s="143">
        <v>1200</v>
      </c>
      <c r="C96" s="169">
        <v>1793.66</v>
      </c>
      <c r="D96" s="171">
        <f aca="true" t="shared" si="6" ref="D96:I96">D99-D100</f>
        <v>0</v>
      </c>
      <c r="E96" s="145">
        <f t="shared" si="6"/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</row>
    <row r="97" spans="1:9" ht="15.75">
      <c r="A97" s="146" t="s">
        <v>60</v>
      </c>
      <c r="B97" s="140">
        <v>1201</v>
      </c>
      <c r="C97" s="171"/>
      <c r="D97" s="171">
        <f aca="true" t="shared" si="7" ref="D97:I97">D96</f>
        <v>0</v>
      </c>
      <c r="E97" s="145">
        <f t="shared" si="7"/>
        <v>0</v>
      </c>
      <c r="F97" s="145">
        <f t="shared" si="7"/>
        <v>0</v>
      </c>
      <c r="G97" s="145">
        <f t="shared" si="7"/>
        <v>0</v>
      </c>
      <c r="H97" s="145">
        <f t="shared" si="7"/>
        <v>0</v>
      </c>
      <c r="I97" s="145">
        <f t="shared" si="7"/>
        <v>0</v>
      </c>
    </row>
    <row r="98" spans="1:9" ht="15.75">
      <c r="A98" s="146" t="s">
        <v>61</v>
      </c>
      <c r="B98" s="140">
        <v>1202</v>
      </c>
      <c r="C98" s="171"/>
      <c r="D98" s="171"/>
      <c r="E98" s="144"/>
      <c r="F98" s="144"/>
      <c r="G98" s="144"/>
      <c r="H98" s="144"/>
      <c r="I98" s="144"/>
    </row>
    <row r="99" spans="1:9" ht="21.75" customHeight="1">
      <c r="A99" s="146" t="s">
        <v>62</v>
      </c>
      <c r="B99" s="143">
        <v>1210</v>
      </c>
      <c r="C99" s="169">
        <f aca="true" t="shared" si="8" ref="C99:I99">C9+C71</f>
        <v>63888.56999999999</v>
      </c>
      <c r="D99" s="169">
        <f t="shared" si="8"/>
        <v>100565.33</v>
      </c>
      <c r="E99" s="145">
        <f>E9+E71</f>
        <v>119216.23999999999</v>
      </c>
      <c r="F99" s="145">
        <f t="shared" si="8"/>
        <v>32744.309999999998</v>
      </c>
      <c r="G99" s="145">
        <f t="shared" si="8"/>
        <v>30799.96</v>
      </c>
      <c r="H99" s="145">
        <f t="shared" si="8"/>
        <v>27338.02</v>
      </c>
      <c r="I99" s="145">
        <f t="shared" si="8"/>
        <v>28333.949999999997</v>
      </c>
    </row>
    <row r="100" spans="1:9" ht="22.5" customHeight="1">
      <c r="A100" s="146" t="s">
        <v>63</v>
      </c>
      <c r="B100" s="143">
        <v>1220</v>
      </c>
      <c r="C100" s="169">
        <f aca="true" t="shared" si="9" ref="C100:I100">C18+C30+C79</f>
        <v>62094.90999999999</v>
      </c>
      <c r="D100" s="169">
        <f t="shared" si="9"/>
        <v>100565.33000000002</v>
      </c>
      <c r="E100" s="145">
        <f t="shared" si="9"/>
        <v>119216.24</v>
      </c>
      <c r="F100" s="145">
        <f t="shared" si="9"/>
        <v>32744.309999999998</v>
      </c>
      <c r="G100" s="145">
        <f t="shared" si="9"/>
        <v>30799.960000000003</v>
      </c>
      <c r="H100" s="145">
        <f t="shared" si="9"/>
        <v>27338.02</v>
      </c>
      <c r="I100" s="145">
        <f t="shared" si="9"/>
        <v>28333.95</v>
      </c>
    </row>
    <row r="101" spans="1:9" ht="18.75" customHeight="1">
      <c r="A101" s="211" t="s">
        <v>176</v>
      </c>
      <c r="B101" s="211"/>
      <c r="C101" s="211"/>
      <c r="D101" s="211"/>
      <c r="E101" s="211"/>
      <c r="F101" s="211"/>
      <c r="G101" s="211"/>
      <c r="H101" s="211"/>
      <c r="I101" s="211"/>
    </row>
    <row r="102" spans="1:9" ht="33.75" customHeight="1">
      <c r="A102" s="146" t="s">
        <v>177</v>
      </c>
      <c r="B102" s="143">
        <v>1300</v>
      </c>
      <c r="C102" s="169">
        <v>9236.63</v>
      </c>
      <c r="D102" s="171">
        <f aca="true" t="shared" si="10" ref="D102:I102">D103+D104</f>
        <v>30753.54</v>
      </c>
      <c r="E102" s="145">
        <f>E103+E104</f>
        <v>26651.8</v>
      </c>
      <c r="F102" s="144">
        <f>F103+F104</f>
        <v>6090.1900000000005</v>
      </c>
      <c r="G102" s="144">
        <f t="shared" si="10"/>
        <v>6600.16</v>
      </c>
      <c r="H102" s="144">
        <f t="shared" si="10"/>
        <v>7627.7</v>
      </c>
      <c r="I102" s="144">
        <f t="shared" si="10"/>
        <v>6333.75</v>
      </c>
    </row>
    <row r="103" spans="1:9" ht="31.5">
      <c r="A103" s="146" t="s">
        <v>178</v>
      </c>
      <c r="B103" s="147">
        <v>1301</v>
      </c>
      <c r="C103" s="169">
        <v>5540.58</v>
      </c>
      <c r="D103" s="171">
        <v>25685.24</v>
      </c>
      <c r="E103" s="145">
        <f>F103+G103+H103+I103</f>
        <v>20777</v>
      </c>
      <c r="F103" s="144">
        <f>F19+F55+F84+F85+F88+F92+F31</f>
        <v>4333.1900000000005</v>
      </c>
      <c r="G103" s="144">
        <f>G19+G55+G84+G85+G88+G92+G31</f>
        <v>5374.16</v>
      </c>
      <c r="H103" s="144">
        <f>H19+H55+H84+H85+H88+H92+H31</f>
        <v>6379.7</v>
      </c>
      <c r="I103" s="144">
        <f>I19+I55+I84+I85+I88+I92+I31</f>
        <v>4689.95</v>
      </c>
    </row>
    <row r="104" spans="1:9" ht="33.75" customHeight="1">
      <c r="A104" s="146" t="s">
        <v>222</v>
      </c>
      <c r="B104" s="147">
        <v>1302</v>
      </c>
      <c r="C104" s="169">
        <v>3696.05</v>
      </c>
      <c r="D104" s="178">
        <f>D86</f>
        <v>5068.3</v>
      </c>
      <c r="E104" s="145">
        <f>F104+G104+H104+I104</f>
        <v>5874.8</v>
      </c>
      <c r="F104" s="180">
        <f>F86</f>
        <v>1757</v>
      </c>
      <c r="G104" s="180">
        <f>G86</f>
        <v>1226</v>
      </c>
      <c r="H104" s="180">
        <f>H86</f>
        <v>1248</v>
      </c>
      <c r="I104" s="180">
        <f>I86</f>
        <v>1643.8</v>
      </c>
    </row>
    <row r="105" spans="1:9" ht="24" customHeight="1">
      <c r="A105" s="146" t="s">
        <v>16</v>
      </c>
      <c r="B105" s="148">
        <v>1310</v>
      </c>
      <c r="C105" s="169">
        <v>39510.7</v>
      </c>
      <c r="D105" s="178">
        <f>D22+D38+D82</f>
        <v>53355.5</v>
      </c>
      <c r="E105" s="145">
        <f>F105+G105+H105+I105</f>
        <v>69154.2</v>
      </c>
      <c r="F105" s="180">
        <f aca="true" t="shared" si="11" ref="F105:I106">F22+F38+F82</f>
        <v>20309.449999999997</v>
      </c>
      <c r="G105" s="180">
        <f t="shared" si="11"/>
        <v>18085.050000000003</v>
      </c>
      <c r="H105" s="180">
        <f t="shared" si="11"/>
        <v>14413.75</v>
      </c>
      <c r="I105" s="180">
        <f t="shared" si="11"/>
        <v>16345.95</v>
      </c>
    </row>
    <row r="106" spans="1:9" ht="29.25" customHeight="1">
      <c r="A106" s="146" t="s">
        <v>17</v>
      </c>
      <c r="B106" s="148">
        <v>1320</v>
      </c>
      <c r="C106" s="169">
        <v>8533.5</v>
      </c>
      <c r="D106" s="171">
        <f>D23+D39+D83</f>
        <v>11514.880000000001</v>
      </c>
      <c r="E106" s="145">
        <f>E23+E39+E83</f>
        <v>15171.740000000002</v>
      </c>
      <c r="F106" s="144">
        <f t="shared" si="11"/>
        <v>4456.22</v>
      </c>
      <c r="G106" s="144">
        <f t="shared" si="11"/>
        <v>3967.05</v>
      </c>
      <c r="H106" s="144">
        <f t="shared" si="11"/>
        <v>3161.92</v>
      </c>
      <c r="I106" s="144">
        <f t="shared" si="11"/>
        <v>3586.55</v>
      </c>
    </row>
    <row r="107" spans="1:9" ht="21.75" customHeight="1">
      <c r="A107" s="146" t="s">
        <v>179</v>
      </c>
      <c r="B107" s="148">
        <v>1330</v>
      </c>
      <c r="C107" s="169">
        <v>1706.83</v>
      </c>
      <c r="D107" s="178">
        <f>D40</f>
        <v>1526.31</v>
      </c>
      <c r="E107" s="145">
        <f>F107+G107+H107+I107</f>
        <v>2808</v>
      </c>
      <c r="F107" s="180">
        <f>F78</f>
        <v>631.5</v>
      </c>
      <c r="G107" s="180">
        <f>G78</f>
        <v>712.5</v>
      </c>
      <c r="H107" s="180">
        <f>H78</f>
        <v>732</v>
      </c>
      <c r="I107" s="180">
        <f>I78</f>
        <v>732</v>
      </c>
    </row>
    <row r="108" spans="1:9" ht="24.75" customHeight="1">
      <c r="A108" s="146" t="s">
        <v>180</v>
      </c>
      <c r="B108" s="148">
        <v>1340</v>
      </c>
      <c r="C108" s="179">
        <v>3107.25</v>
      </c>
      <c r="D108" s="171">
        <v>3415.1</v>
      </c>
      <c r="E108" s="145">
        <f>F108+G108+H108+I108</f>
        <v>5430.5</v>
      </c>
      <c r="F108" s="144">
        <v>1256.95</v>
      </c>
      <c r="G108" s="144">
        <v>1435.2</v>
      </c>
      <c r="H108" s="144">
        <v>1402.65</v>
      </c>
      <c r="I108" s="144">
        <v>1335.7</v>
      </c>
    </row>
    <row r="109" spans="1:9" ht="21.75" customHeight="1">
      <c r="A109" s="125" t="s">
        <v>181</v>
      </c>
      <c r="B109" s="149">
        <v>1350</v>
      </c>
      <c r="C109" s="169">
        <f aca="true" t="shared" si="12" ref="C109:I109">C102+C105+C106+C107+C108</f>
        <v>62094.909999999996</v>
      </c>
      <c r="D109" s="169">
        <f t="shared" si="12"/>
        <v>100565.33000000002</v>
      </c>
      <c r="E109" s="145">
        <f>E102+E105+E106+E107+E108</f>
        <v>119216.24</v>
      </c>
      <c r="F109" s="145">
        <f t="shared" si="12"/>
        <v>32744.31</v>
      </c>
      <c r="G109" s="145">
        <f t="shared" si="12"/>
        <v>30799.960000000003</v>
      </c>
      <c r="H109" s="145">
        <f t="shared" si="12"/>
        <v>27338.020000000004</v>
      </c>
      <c r="I109" s="145">
        <f t="shared" si="12"/>
        <v>28333.95</v>
      </c>
    </row>
    <row r="110" spans="1:9" ht="33" customHeight="1">
      <c r="A110" s="150" t="s">
        <v>267</v>
      </c>
      <c r="B110" s="151"/>
      <c r="C110" s="206" t="s">
        <v>262</v>
      </c>
      <c r="D110" s="207"/>
      <c r="E110" s="207"/>
      <c r="F110" s="152"/>
      <c r="G110" s="212" t="s">
        <v>276</v>
      </c>
      <c r="H110" s="212"/>
      <c r="I110" s="212"/>
    </row>
    <row r="111" spans="1:9" ht="22.5" customHeight="1">
      <c r="A111" s="154" t="s">
        <v>93</v>
      </c>
      <c r="B111" s="153"/>
      <c r="C111" s="210" t="s">
        <v>92</v>
      </c>
      <c r="D111" s="210"/>
      <c r="E111" s="210"/>
      <c r="F111" s="155"/>
      <c r="G111" s="155" t="s">
        <v>91</v>
      </c>
      <c r="I111" s="156"/>
    </row>
    <row r="112" spans="1:9" ht="31.5">
      <c r="A112" s="150" t="s">
        <v>258</v>
      </c>
      <c r="C112" s="206" t="s">
        <v>262</v>
      </c>
      <c r="D112" s="207"/>
      <c r="E112" s="207"/>
      <c r="G112" s="208" t="s">
        <v>315</v>
      </c>
      <c r="H112" s="208"/>
      <c r="I112" s="208"/>
    </row>
    <row r="113" spans="1:7" ht="15.75">
      <c r="A113" s="150"/>
      <c r="C113" s="210" t="s">
        <v>92</v>
      </c>
      <c r="D113" s="210"/>
      <c r="E113" s="210"/>
      <c r="G113" s="155" t="s">
        <v>91</v>
      </c>
    </row>
    <row r="114" spans="1:9" ht="30" customHeight="1">
      <c r="A114" s="150" t="s">
        <v>244</v>
      </c>
      <c r="B114" s="151"/>
      <c r="C114" s="206" t="s">
        <v>262</v>
      </c>
      <c r="D114" s="207"/>
      <c r="E114" s="207"/>
      <c r="F114" s="152"/>
      <c r="G114" s="208" t="s">
        <v>316</v>
      </c>
      <c r="H114" s="208"/>
      <c r="I114" s="208"/>
    </row>
    <row r="115" spans="1:9" ht="15.75">
      <c r="A115" s="154" t="s">
        <v>93</v>
      </c>
      <c r="B115" s="153"/>
      <c r="C115" s="210" t="s">
        <v>92</v>
      </c>
      <c r="D115" s="210"/>
      <c r="E115" s="210"/>
      <c r="F115" s="155"/>
      <c r="G115" s="155" t="s">
        <v>91</v>
      </c>
      <c r="I115" s="156"/>
    </row>
  </sheetData>
  <sheetProtection/>
  <mergeCells count="19">
    <mergeCell ref="A1:I1"/>
    <mergeCell ref="G2:I2"/>
    <mergeCell ref="A3:I3"/>
    <mergeCell ref="A5:A6"/>
    <mergeCell ref="B5:B6"/>
    <mergeCell ref="C5:C6"/>
    <mergeCell ref="E5:E6"/>
    <mergeCell ref="D5:D6"/>
    <mergeCell ref="C115:E115"/>
    <mergeCell ref="A101:I101"/>
    <mergeCell ref="C110:E110"/>
    <mergeCell ref="G110:I110"/>
    <mergeCell ref="C111:E111"/>
    <mergeCell ref="C113:E113"/>
    <mergeCell ref="G114:I114"/>
    <mergeCell ref="C114:E114"/>
    <mergeCell ref="G112:I112"/>
    <mergeCell ref="F5:I5"/>
    <mergeCell ref="C112:E112"/>
  </mergeCells>
  <printOptions/>
  <pageMargins left="0.984251968503937" right="0.1968503937007874" top="0.1968503937007874" bottom="0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view="pageBreakPreview" zoomScaleNormal="130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22.421875" style="13" customWidth="1"/>
    <col min="2" max="2" width="6.00390625" style="13" customWidth="1"/>
    <col min="3" max="3" width="9.8515625" style="13" customWidth="1"/>
    <col min="4" max="4" width="10.28125" style="13" customWidth="1"/>
    <col min="5" max="5" width="10.421875" style="13" customWidth="1"/>
    <col min="6" max="6" width="9.57421875" style="13" customWidth="1"/>
    <col min="7" max="7" width="10.003906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14" t="s">
        <v>161</v>
      </c>
      <c r="H1" s="214"/>
      <c r="I1" s="214"/>
    </row>
    <row r="2" spans="1:9" ht="15.75">
      <c r="A2" s="217" t="s">
        <v>64</v>
      </c>
      <c r="B2" s="217"/>
      <c r="C2" s="217"/>
      <c r="D2" s="217"/>
      <c r="E2" s="217"/>
      <c r="F2" s="217"/>
      <c r="G2" s="217"/>
      <c r="H2" s="217"/>
      <c r="I2" s="217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18" t="s">
        <v>1</v>
      </c>
      <c r="B4" s="219" t="s">
        <v>2</v>
      </c>
      <c r="C4" s="219" t="s">
        <v>3</v>
      </c>
      <c r="D4" s="219" t="s">
        <v>4</v>
      </c>
      <c r="E4" s="220" t="s">
        <v>5</v>
      </c>
      <c r="F4" s="220" t="s">
        <v>6</v>
      </c>
      <c r="G4" s="220"/>
      <c r="H4" s="220"/>
      <c r="I4" s="220"/>
    </row>
    <row r="5" spans="1:9" ht="57" customHeight="1">
      <c r="A5" s="218"/>
      <c r="B5" s="219"/>
      <c r="C5" s="219"/>
      <c r="D5" s="219"/>
      <c r="E5" s="220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25" t="s">
        <v>65</v>
      </c>
      <c r="B7" s="225"/>
      <c r="C7" s="225"/>
      <c r="D7" s="225"/>
      <c r="E7" s="225"/>
      <c r="F7" s="225"/>
      <c r="G7" s="225"/>
      <c r="H7" s="225"/>
      <c r="I7" s="225"/>
    </row>
    <row r="8" spans="1:9" ht="88.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72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73</v>
      </c>
      <c r="B19" s="5">
        <v>2070</v>
      </c>
      <c r="C19" s="9"/>
      <c r="D19" s="81"/>
      <c r="E19" s="9"/>
      <c r="F19" s="9"/>
      <c r="G19" s="9"/>
      <c r="H19" s="9"/>
      <c r="I19" s="9"/>
    </row>
    <row r="20" spans="1:9" ht="25.5" customHeight="1">
      <c r="A20" s="225" t="s">
        <v>74</v>
      </c>
      <c r="B20" s="225"/>
      <c r="C20" s="225"/>
      <c r="D20" s="225"/>
      <c r="E20" s="225"/>
      <c r="F20" s="225"/>
      <c r="G20" s="225"/>
      <c r="H20" s="225"/>
      <c r="I20" s="225"/>
    </row>
    <row r="21" spans="1:9" ht="84.75" customHeight="1">
      <c r="A21" s="18" t="s">
        <v>75</v>
      </c>
      <c r="B21" s="20">
        <v>2110</v>
      </c>
      <c r="C21" s="21"/>
      <c r="D21" s="118">
        <f aca="true" t="shared" si="0" ref="D21:I21">D23</f>
        <v>191.68</v>
      </c>
      <c r="E21" s="118">
        <f t="shared" si="0"/>
        <v>203.39999999999998</v>
      </c>
      <c r="F21" s="118">
        <f t="shared" si="0"/>
        <v>55.3</v>
      </c>
      <c r="G21" s="118">
        <f t="shared" si="0"/>
        <v>46.3</v>
      </c>
      <c r="H21" s="118">
        <f t="shared" si="0"/>
        <v>51.8</v>
      </c>
      <c r="I21" s="118">
        <f t="shared" si="0"/>
        <v>50</v>
      </c>
    </row>
    <row r="22" spans="1:9" ht="29.25" customHeight="1">
      <c r="A22" s="4" t="s">
        <v>76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162</v>
      </c>
      <c r="B23" s="5">
        <v>2112</v>
      </c>
      <c r="C23" s="9"/>
      <c r="D23" s="81">
        <v>191.68</v>
      </c>
      <c r="E23" s="34">
        <f>F23+G23+H23+I23</f>
        <v>203.39999999999998</v>
      </c>
      <c r="F23" s="34">
        <v>55.3</v>
      </c>
      <c r="G23" s="34">
        <v>46.3</v>
      </c>
      <c r="H23" s="34">
        <v>51.8</v>
      </c>
      <c r="I23" s="34">
        <v>50</v>
      </c>
    </row>
    <row r="24" spans="1:9" ht="69.75" customHeight="1">
      <c r="A24" s="19" t="s">
        <v>163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77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78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79</v>
      </c>
      <c r="B27" s="17">
        <v>2116</v>
      </c>
      <c r="C27" s="21"/>
      <c r="D27" s="86"/>
      <c r="E27" s="9"/>
      <c r="F27" s="21"/>
      <c r="G27" s="21"/>
      <c r="H27" s="21"/>
      <c r="I27" s="21"/>
    </row>
    <row r="28" spans="1:9" ht="15">
      <c r="A28" s="19"/>
      <c r="B28" s="17"/>
      <c r="C28" s="21"/>
      <c r="D28" s="86"/>
      <c r="E28" s="9"/>
      <c r="F28" s="21"/>
      <c r="G28" s="21"/>
      <c r="H28" s="21"/>
      <c r="I28" s="21"/>
    </row>
    <row r="29" spans="1:9" ht="15">
      <c r="A29" s="19"/>
      <c r="B29" s="17"/>
      <c r="C29" s="21"/>
      <c r="D29" s="86"/>
      <c r="E29" s="9"/>
      <c r="F29" s="21"/>
      <c r="G29" s="21"/>
      <c r="H29" s="21"/>
      <c r="I29" s="21"/>
    </row>
    <row r="30" spans="1:9" ht="87.75" customHeight="1">
      <c r="A30" s="18" t="s">
        <v>80</v>
      </c>
      <c r="B30" s="22">
        <v>2120</v>
      </c>
      <c r="C30" s="21"/>
      <c r="D30" s="118">
        <f aca="true" t="shared" si="1" ref="D30:I30">D31+D32</f>
        <v>7928.11</v>
      </c>
      <c r="E30" s="131">
        <f t="shared" si="1"/>
        <v>8320</v>
      </c>
      <c r="F30" s="131">
        <f t="shared" si="1"/>
        <v>1979.4</v>
      </c>
      <c r="G30" s="131">
        <f t="shared" si="1"/>
        <v>2172.9</v>
      </c>
      <c r="H30" s="131">
        <f t="shared" si="1"/>
        <v>2173.9</v>
      </c>
      <c r="I30" s="131">
        <f t="shared" si="1"/>
        <v>1993.8</v>
      </c>
    </row>
    <row r="31" spans="1:9" ht="37.5" customHeight="1">
      <c r="A31" s="19" t="s">
        <v>78</v>
      </c>
      <c r="B31" s="17">
        <v>2121</v>
      </c>
      <c r="C31" s="9"/>
      <c r="D31" s="81">
        <v>7829.08</v>
      </c>
      <c r="E31" s="120">
        <f>F31+G31+H31+I31</f>
        <v>8272</v>
      </c>
      <c r="F31" s="34">
        <v>1967.4</v>
      </c>
      <c r="G31" s="34">
        <v>2160.9</v>
      </c>
      <c r="H31" s="34">
        <v>2161.9</v>
      </c>
      <c r="I31" s="34">
        <v>1981.8</v>
      </c>
    </row>
    <row r="32" spans="1:9" ht="21" customHeight="1">
      <c r="A32" s="19" t="s">
        <v>81</v>
      </c>
      <c r="B32" s="17">
        <v>2122</v>
      </c>
      <c r="C32" s="9"/>
      <c r="D32" s="81">
        <v>99.03</v>
      </c>
      <c r="E32" s="120">
        <f>F32+G32+H32+I32</f>
        <v>48</v>
      </c>
      <c r="F32" s="120">
        <v>12</v>
      </c>
      <c r="G32" s="120">
        <v>12</v>
      </c>
      <c r="H32" s="120">
        <v>12</v>
      </c>
      <c r="I32" s="120">
        <v>12</v>
      </c>
    </row>
    <row r="33" spans="1:9" ht="18.75" customHeight="1">
      <c r="A33" s="19" t="s">
        <v>82</v>
      </c>
      <c r="B33" s="17">
        <v>2123</v>
      </c>
      <c r="C33" s="9"/>
      <c r="D33" s="81"/>
      <c r="E33" s="34"/>
      <c r="F33" s="116"/>
      <c r="G33" s="116"/>
      <c r="H33" s="116"/>
      <c r="I33" s="116"/>
    </row>
    <row r="34" spans="1:9" ht="39.75" customHeight="1">
      <c r="A34" s="19" t="s">
        <v>79</v>
      </c>
      <c r="B34" s="17">
        <v>2124</v>
      </c>
      <c r="C34" s="9"/>
      <c r="D34" s="81"/>
      <c r="E34" s="9"/>
      <c r="F34" s="9"/>
      <c r="G34" s="9"/>
      <c r="H34" s="9"/>
      <c r="I34" s="9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72" customHeight="1">
      <c r="A37" s="18" t="s">
        <v>83</v>
      </c>
      <c r="B37" s="22">
        <v>2130</v>
      </c>
      <c r="C37" s="21"/>
      <c r="D37" s="86">
        <f aca="true" t="shared" si="2" ref="D37:I37">D39+D41</f>
        <v>10191.24</v>
      </c>
      <c r="E37" s="86">
        <f t="shared" si="2"/>
        <v>10604.380000000001</v>
      </c>
      <c r="F37" s="86">
        <f t="shared" si="2"/>
        <v>2525.52</v>
      </c>
      <c r="G37" s="86">
        <f t="shared" si="2"/>
        <v>2765.17</v>
      </c>
      <c r="H37" s="86">
        <f t="shared" si="2"/>
        <v>2766.46</v>
      </c>
      <c r="I37" s="86">
        <f t="shared" si="2"/>
        <v>2547.23</v>
      </c>
    </row>
    <row r="38" spans="1:9" ht="22.5" customHeight="1">
      <c r="A38" s="19" t="s">
        <v>84</v>
      </c>
      <c r="B38" s="17">
        <v>2131</v>
      </c>
      <c r="C38" s="9"/>
      <c r="D38" s="83"/>
      <c r="E38" s="81"/>
      <c r="F38" s="81"/>
      <c r="G38" s="81"/>
      <c r="H38" s="81"/>
      <c r="I38" s="81"/>
    </row>
    <row r="39" spans="1:9" ht="66.75" customHeight="1">
      <c r="A39" s="19" t="s">
        <v>85</v>
      </c>
      <c r="B39" s="17">
        <v>2132</v>
      </c>
      <c r="C39" s="9"/>
      <c r="D39" s="81">
        <v>9538.82</v>
      </c>
      <c r="E39" s="81">
        <f>F39+G39+H39+I39</f>
        <v>9914.880000000001</v>
      </c>
      <c r="F39" s="81">
        <v>2361.52</v>
      </c>
      <c r="G39" s="81">
        <v>2585.07</v>
      </c>
      <c r="H39" s="81">
        <v>2586.26</v>
      </c>
      <c r="I39" s="81">
        <v>2382.03</v>
      </c>
    </row>
    <row r="40" spans="1:9" ht="36.75" customHeight="1">
      <c r="A40" s="19" t="s">
        <v>86</v>
      </c>
      <c r="B40" s="17">
        <v>2133</v>
      </c>
      <c r="C40" s="9"/>
      <c r="D40" s="81"/>
      <c r="E40" s="90"/>
      <c r="F40" s="90"/>
      <c r="G40" s="90"/>
      <c r="H40" s="90"/>
      <c r="I40" s="90"/>
    </row>
    <row r="41" spans="1:9" ht="27" customHeight="1">
      <c r="A41" s="19" t="s">
        <v>257</v>
      </c>
      <c r="B41" s="17"/>
      <c r="C41" s="9"/>
      <c r="D41" s="81">
        <v>652.42</v>
      </c>
      <c r="E41" s="81">
        <f>F41+G41+H41+I41</f>
        <v>689.5</v>
      </c>
      <c r="F41" s="81">
        <v>164</v>
      </c>
      <c r="G41" s="81">
        <v>180.1</v>
      </c>
      <c r="H41" s="81">
        <v>180.2</v>
      </c>
      <c r="I41" s="81">
        <v>165.2</v>
      </c>
    </row>
    <row r="42" spans="1:9" ht="15">
      <c r="A42" s="19"/>
      <c r="B42" s="17"/>
      <c r="C42" s="9"/>
      <c r="D42" s="81"/>
      <c r="E42" s="87"/>
      <c r="F42" s="87"/>
      <c r="G42" s="87"/>
      <c r="H42" s="87"/>
      <c r="I42" s="87"/>
    </row>
    <row r="43" spans="1:9" ht="60" customHeight="1">
      <c r="A43" s="18" t="s">
        <v>87</v>
      </c>
      <c r="B43" s="22">
        <v>2140</v>
      </c>
      <c r="C43" s="21"/>
      <c r="D43" s="118">
        <f>D46+D47</f>
        <v>2.57</v>
      </c>
      <c r="E43" s="118"/>
      <c r="F43" s="118"/>
      <c r="G43" s="21"/>
      <c r="H43" s="21"/>
      <c r="I43" s="21"/>
    </row>
    <row r="44" spans="1:9" ht="120" customHeight="1">
      <c r="A44" s="19" t="s">
        <v>88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89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60.75" customHeight="1">
      <c r="A46" s="19" t="s">
        <v>249</v>
      </c>
      <c r="B46" s="17" t="s">
        <v>247</v>
      </c>
      <c r="C46" s="9"/>
      <c r="D46" s="34">
        <v>0.57</v>
      </c>
      <c r="E46" s="34">
        <f>F46</f>
        <v>0</v>
      </c>
      <c r="F46" s="34"/>
      <c r="G46" s="9"/>
      <c r="H46" s="9"/>
      <c r="I46" s="9"/>
    </row>
    <row r="47" spans="1:9" ht="81.75" customHeight="1">
      <c r="A47" s="19" t="s">
        <v>250</v>
      </c>
      <c r="B47" s="17" t="s">
        <v>248</v>
      </c>
      <c r="C47" s="9"/>
      <c r="D47" s="81">
        <v>2</v>
      </c>
      <c r="E47" s="81">
        <f>F47</f>
        <v>0</v>
      </c>
      <c r="F47" s="81"/>
      <c r="G47" s="9"/>
      <c r="H47" s="9"/>
      <c r="I47" s="9"/>
    </row>
    <row r="48" spans="1:9" ht="15">
      <c r="A48" s="19"/>
      <c r="B48" s="17"/>
      <c r="C48" s="9"/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15">
      <c r="A51" s="23"/>
      <c r="B51" s="14"/>
      <c r="C51" s="24"/>
      <c r="D51" s="25"/>
      <c r="E51" s="24"/>
      <c r="F51" s="25"/>
      <c r="G51" s="25"/>
      <c r="H51" s="25"/>
      <c r="I51" s="25"/>
    </row>
    <row r="52" spans="1:9" ht="30">
      <c r="A52" s="117" t="s">
        <v>267</v>
      </c>
      <c r="B52" s="27"/>
      <c r="C52" s="222" t="s">
        <v>90</v>
      </c>
      <c r="D52" s="223"/>
      <c r="E52" s="223"/>
      <c r="F52" s="28"/>
      <c r="G52" s="224" t="s">
        <v>259</v>
      </c>
      <c r="H52" s="224"/>
      <c r="I52" s="224"/>
    </row>
    <row r="53" spans="1:9" ht="15">
      <c r="A53" s="30" t="s">
        <v>93</v>
      </c>
      <c r="B53" s="29"/>
      <c r="C53" s="221" t="s">
        <v>92</v>
      </c>
      <c r="D53" s="221"/>
      <c r="E53" s="221"/>
      <c r="F53" s="31"/>
      <c r="G53" s="31" t="s">
        <v>91</v>
      </c>
      <c r="I53" s="32"/>
    </row>
    <row r="55" spans="1:9" ht="33" customHeight="1">
      <c r="A55" s="117" t="s">
        <v>258</v>
      </c>
      <c r="C55" s="222" t="s">
        <v>90</v>
      </c>
      <c r="D55" s="223"/>
      <c r="E55" s="223"/>
      <c r="G55" s="224" t="s">
        <v>260</v>
      </c>
      <c r="H55" s="224"/>
      <c r="I55" s="224"/>
    </row>
    <row r="56" spans="1:7" ht="19.5" customHeight="1">
      <c r="A56" s="117"/>
      <c r="C56" s="221" t="s">
        <v>92</v>
      </c>
      <c r="D56" s="221"/>
      <c r="E56" s="221"/>
      <c r="G56" s="31" t="s">
        <v>91</v>
      </c>
    </row>
    <row r="57" spans="1:9" ht="30">
      <c r="A57" s="117" t="s">
        <v>265</v>
      </c>
      <c r="B57" s="27"/>
      <c r="C57" s="222" t="s">
        <v>90</v>
      </c>
      <c r="D57" s="223"/>
      <c r="E57" s="223"/>
      <c r="F57" s="28"/>
      <c r="G57" s="224" t="s">
        <v>275</v>
      </c>
      <c r="H57" s="224"/>
      <c r="I57" s="224"/>
    </row>
    <row r="58" spans="1:9" ht="15">
      <c r="A58" s="128" t="s">
        <v>93</v>
      </c>
      <c r="B58" s="29"/>
      <c r="C58" s="221" t="s">
        <v>92</v>
      </c>
      <c r="D58" s="221"/>
      <c r="E58" s="221"/>
      <c r="F58" s="31"/>
      <c r="G58" s="31" t="s">
        <v>91</v>
      </c>
      <c r="I58" s="32"/>
    </row>
  </sheetData>
  <sheetProtection/>
  <mergeCells count="19">
    <mergeCell ref="C53:E53"/>
    <mergeCell ref="C55:E55"/>
    <mergeCell ref="G55:I55"/>
    <mergeCell ref="A7:I7"/>
    <mergeCell ref="A20:I20"/>
    <mergeCell ref="C52:E52"/>
    <mergeCell ref="G52:I52"/>
    <mergeCell ref="C56:E56"/>
    <mergeCell ref="C57:E57"/>
    <mergeCell ref="G57:I57"/>
    <mergeCell ref="C58:E58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6"/>
  <sheetViews>
    <sheetView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23.57421875" style="13" customWidth="1"/>
    <col min="2" max="2" width="6.00390625" style="13" customWidth="1"/>
    <col min="3" max="3" width="9.140625" style="13" customWidth="1"/>
    <col min="4" max="4" width="9.57421875" style="13" customWidth="1"/>
    <col min="5" max="5" width="9.8515625" style="13" customWidth="1"/>
    <col min="6" max="9" width="8.421875" style="13" customWidth="1"/>
    <col min="10" max="16384" width="9.140625" style="13" customWidth="1"/>
  </cols>
  <sheetData>
    <row r="1" spans="7:9" ht="15.75">
      <c r="G1" s="214" t="s">
        <v>161</v>
      </c>
      <c r="H1" s="214"/>
      <c r="I1" s="214"/>
    </row>
    <row r="2" spans="1:9" ht="15.75">
      <c r="A2" s="217" t="s">
        <v>64</v>
      </c>
      <c r="B2" s="217"/>
      <c r="C2" s="217"/>
      <c r="D2" s="217"/>
      <c r="E2" s="217"/>
      <c r="F2" s="217"/>
      <c r="G2" s="217"/>
      <c r="H2" s="217"/>
      <c r="I2" s="217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18" t="s">
        <v>1</v>
      </c>
      <c r="B4" s="219" t="s">
        <v>2</v>
      </c>
      <c r="C4" s="219" t="s">
        <v>3</v>
      </c>
      <c r="D4" s="219" t="s">
        <v>4</v>
      </c>
      <c r="E4" s="220" t="s">
        <v>5</v>
      </c>
      <c r="F4" s="220" t="s">
        <v>6</v>
      </c>
      <c r="G4" s="220"/>
      <c r="H4" s="220"/>
      <c r="I4" s="220"/>
    </row>
    <row r="5" spans="1:9" ht="57" customHeight="1">
      <c r="A5" s="218"/>
      <c r="B5" s="219"/>
      <c r="C5" s="219"/>
      <c r="D5" s="219"/>
      <c r="E5" s="220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25" t="s">
        <v>65</v>
      </c>
      <c r="B7" s="225"/>
      <c r="C7" s="225"/>
      <c r="D7" s="225"/>
      <c r="E7" s="225"/>
      <c r="F7" s="225"/>
      <c r="G7" s="225"/>
      <c r="H7" s="225"/>
      <c r="I7" s="225"/>
    </row>
    <row r="8" spans="1:9" ht="66.7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72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73</v>
      </c>
      <c r="B19" s="5">
        <v>2070</v>
      </c>
      <c r="C19" s="81">
        <v>37007.09</v>
      </c>
      <c r="D19" s="81"/>
      <c r="E19" s="9"/>
      <c r="F19" s="9"/>
      <c r="G19" s="9"/>
      <c r="H19" s="9"/>
      <c r="I19" s="9"/>
    </row>
    <row r="20" spans="1:9" ht="25.5" customHeight="1">
      <c r="A20" s="225" t="s">
        <v>74</v>
      </c>
      <c r="B20" s="225"/>
      <c r="C20" s="225"/>
      <c r="D20" s="225"/>
      <c r="E20" s="225"/>
      <c r="F20" s="225"/>
      <c r="G20" s="225"/>
      <c r="H20" s="225"/>
      <c r="I20" s="225"/>
    </row>
    <row r="21" spans="1:9" ht="84.75" customHeight="1">
      <c r="A21" s="18" t="s">
        <v>75</v>
      </c>
      <c r="B21" s="20">
        <v>2110</v>
      </c>
      <c r="C21" s="131">
        <f>C23+C28</f>
        <v>811</v>
      </c>
      <c r="D21" s="118">
        <f aca="true" t="shared" si="0" ref="D21:I21">D23+D28</f>
        <v>1003.73</v>
      </c>
      <c r="E21" s="118">
        <f t="shared" si="0"/>
        <v>1679.61</v>
      </c>
      <c r="F21" s="118">
        <f t="shared" si="0"/>
        <v>466.83</v>
      </c>
      <c r="G21" s="118">
        <f t="shared" si="0"/>
        <v>433.46</v>
      </c>
      <c r="H21" s="118">
        <f t="shared" si="0"/>
        <v>376.35</v>
      </c>
      <c r="I21" s="118">
        <f t="shared" si="0"/>
        <v>402.97</v>
      </c>
    </row>
    <row r="22" spans="1:9" ht="29.25" customHeight="1">
      <c r="A22" s="4" t="s">
        <v>76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162</v>
      </c>
      <c r="B23" s="5">
        <v>2112</v>
      </c>
      <c r="C23" s="160">
        <v>211.5</v>
      </c>
      <c r="D23" s="81">
        <v>203.4</v>
      </c>
      <c r="E23" s="160">
        <f>F23+G23+H23+I23</f>
        <v>642.3</v>
      </c>
      <c r="F23" s="160">
        <v>162.19</v>
      </c>
      <c r="G23" s="160">
        <v>162.19</v>
      </c>
      <c r="H23" s="160">
        <v>160.14</v>
      </c>
      <c r="I23" s="160">
        <v>157.78</v>
      </c>
    </row>
    <row r="24" spans="1:9" ht="69.75" customHeight="1">
      <c r="A24" s="19" t="s">
        <v>163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77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78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79</v>
      </c>
      <c r="B27" s="17">
        <v>2116</v>
      </c>
      <c r="C27" s="21"/>
      <c r="D27" s="86"/>
      <c r="E27" s="9"/>
      <c r="F27" s="21"/>
      <c r="G27" s="21"/>
      <c r="H27" s="21"/>
      <c r="I27" s="21"/>
    </row>
    <row r="28" spans="1:9" ht="15">
      <c r="A28" s="19" t="s">
        <v>257</v>
      </c>
      <c r="B28" s="17" t="s">
        <v>306</v>
      </c>
      <c r="C28" s="160">
        <v>599.5</v>
      </c>
      <c r="D28" s="81">
        <v>800.33</v>
      </c>
      <c r="E28" s="81">
        <f>F28+G28+H28+I28</f>
        <v>1037.31</v>
      </c>
      <c r="F28" s="158">
        <f>268.64+36</f>
        <v>304.64</v>
      </c>
      <c r="G28" s="158">
        <f>274.96-3.69</f>
        <v>271.27</v>
      </c>
      <c r="H28" s="158">
        <v>216.21</v>
      </c>
      <c r="I28" s="158">
        <v>245.19</v>
      </c>
    </row>
    <row r="29" spans="1:9" ht="15">
      <c r="A29" s="19"/>
      <c r="B29" s="17"/>
      <c r="C29" s="21"/>
      <c r="D29" s="86"/>
      <c r="E29" s="9"/>
      <c r="F29" s="21"/>
      <c r="G29" s="21"/>
      <c r="H29" s="21"/>
      <c r="I29" s="21"/>
    </row>
    <row r="30" spans="1:9" ht="87.75" customHeight="1">
      <c r="A30" s="18" t="s">
        <v>80</v>
      </c>
      <c r="B30" s="22">
        <v>2120</v>
      </c>
      <c r="C30" s="131">
        <f aca="true" t="shared" si="1" ref="C30:I30">C31+C32</f>
        <v>7221</v>
      </c>
      <c r="D30" s="86">
        <f t="shared" si="1"/>
        <v>9652</v>
      </c>
      <c r="E30" s="131">
        <f t="shared" si="1"/>
        <v>12495.76</v>
      </c>
      <c r="F30" s="131">
        <f t="shared" si="1"/>
        <v>3667.7</v>
      </c>
      <c r="G30" s="131">
        <f t="shared" si="1"/>
        <v>3267.31</v>
      </c>
      <c r="H30" s="131">
        <f t="shared" si="1"/>
        <v>2606.47</v>
      </c>
      <c r="I30" s="131">
        <f t="shared" si="1"/>
        <v>2954.28</v>
      </c>
    </row>
    <row r="31" spans="1:9" ht="37.5" customHeight="1">
      <c r="A31" s="19" t="s">
        <v>78</v>
      </c>
      <c r="B31" s="17">
        <v>2121</v>
      </c>
      <c r="C31" s="160">
        <v>7116.9</v>
      </c>
      <c r="D31" s="81">
        <v>9604</v>
      </c>
      <c r="E31" s="159">
        <f>F31+G31+H31+I31</f>
        <v>12447.76</v>
      </c>
      <c r="F31" s="160">
        <f>3223.68+432.02</f>
        <v>3655.7</v>
      </c>
      <c r="G31" s="160">
        <f>3299.57-44.26</f>
        <v>3255.31</v>
      </c>
      <c r="H31" s="160">
        <v>2594.47</v>
      </c>
      <c r="I31" s="160">
        <v>2942.28</v>
      </c>
    </row>
    <row r="32" spans="1:9" ht="21" customHeight="1">
      <c r="A32" s="19" t="s">
        <v>81</v>
      </c>
      <c r="B32" s="17">
        <v>2122</v>
      </c>
      <c r="C32" s="160">
        <v>104.1</v>
      </c>
      <c r="D32" s="81">
        <v>48</v>
      </c>
      <c r="E32" s="159">
        <f>F32+G32+H32+I32</f>
        <v>48</v>
      </c>
      <c r="F32" s="159">
        <v>12</v>
      </c>
      <c r="G32" s="159">
        <v>12</v>
      </c>
      <c r="H32" s="159">
        <v>12</v>
      </c>
      <c r="I32" s="159">
        <v>12</v>
      </c>
    </row>
    <row r="33" spans="1:9" ht="18.75" customHeight="1">
      <c r="A33" s="19" t="s">
        <v>82</v>
      </c>
      <c r="B33" s="17">
        <v>2123</v>
      </c>
      <c r="C33" s="9"/>
      <c r="D33" s="81"/>
      <c r="E33" s="34"/>
      <c r="F33" s="116"/>
      <c r="G33" s="116"/>
      <c r="H33" s="116"/>
      <c r="I33" s="116"/>
    </row>
    <row r="34" spans="1:9" ht="27.75" customHeight="1">
      <c r="A34" s="19" t="s">
        <v>79</v>
      </c>
      <c r="B34" s="17">
        <v>2124</v>
      </c>
      <c r="C34" s="9"/>
      <c r="D34" s="81"/>
      <c r="E34" s="9"/>
      <c r="F34" s="9"/>
      <c r="G34" s="9"/>
      <c r="H34" s="9"/>
      <c r="I34" s="9"/>
    </row>
    <row r="35" spans="1:9" ht="15">
      <c r="A35" s="19"/>
      <c r="B35" s="78"/>
      <c r="C35" s="78"/>
      <c r="D35" s="78"/>
      <c r="E35" s="78"/>
      <c r="F35" s="78"/>
      <c r="G35" s="78"/>
      <c r="H35" s="78"/>
      <c r="I35" s="78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63.75" customHeight="1">
      <c r="A37" s="18" t="s">
        <v>83</v>
      </c>
      <c r="B37" s="22">
        <v>2130</v>
      </c>
      <c r="C37" s="187">
        <f>C39+C41+C42</f>
        <v>8539.52</v>
      </c>
      <c r="D37" s="187">
        <f aca="true" t="shared" si="2" ref="D37:I37">D39+D41</f>
        <v>11514.88</v>
      </c>
      <c r="E37" s="187">
        <f t="shared" si="2"/>
        <v>15171.740000000002</v>
      </c>
      <c r="F37" s="187">
        <f t="shared" si="2"/>
        <v>4456.22</v>
      </c>
      <c r="G37" s="187">
        <f t="shared" si="2"/>
        <v>3967.05</v>
      </c>
      <c r="H37" s="187">
        <f t="shared" si="2"/>
        <v>3161.92</v>
      </c>
      <c r="I37" s="187">
        <f t="shared" si="2"/>
        <v>3586.55</v>
      </c>
    </row>
    <row r="38" spans="1:9" ht="22.5" customHeight="1">
      <c r="A38" s="19" t="s">
        <v>84</v>
      </c>
      <c r="B38" s="17">
        <v>2131</v>
      </c>
      <c r="C38" s="9"/>
      <c r="D38" s="83"/>
      <c r="E38" s="81"/>
      <c r="F38" s="81"/>
      <c r="G38" s="81"/>
      <c r="H38" s="81"/>
      <c r="I38" s="81"/>
    </row>
    <row r="39" spans="1:9" ht="61.5" customHeight="1">
      <c r="A39" s="19" t="s">
        <v>85</v>
      </c>
      <c r="B39" s="17">
        <v>2132</v>
      </c>
      <c r="C39" s="158">
        <v>8537.6</v>
      </c>
      <c r="D39" s="81">
        <v>11514.88</v>
      </c>
      <c r="E39" s="158">
        <f>F39+G39+H39+I39</f>
        <v>15171.740000000002</v>
      </c>
      <c r="F39" s="158">
        <v>4456.22</v>
      </c>
      <c r="G39" s="158">
        <v>3967.05</v>
      </c>
      <c r="H39" s="158">
        <v>3161.92</v>
      </c>
      <c r="I39" s="158">
        <v>3586.55</v>
      </c>
    </row>
    <row r="40" spans="1:9" ht="36.75" customHeight="1">
      <c r="A40" s="19" t="s">
        <v>86</v>
      </c>
      <c r="B40" s="17">
        <v>2133</v>
      </c>
      <c r="C40" s="9"/>
      <c r="D40" s="81"/>
      <c r="E40" s="90"/>
      <c r="F40" s="90"/>
      <c r="G40" s="90"/>
      <c r="H40" s="90"/>
      <c r="I40" s="90"/>
    </row>
    <row r="41" spans="1:9" ht="9.75" customHeight="1">
      <c r="A41" s="19"/>
      <c r="B41" s="17"/>
      <c r="C41" s="158"/>
      <c r="D41" s="81"/>
      <c r="E41" s="158"/>
      <c r="F41" s="158"/>
      <c r="G41" s="158"/>
      <c r="H41" s="158"/>
      <c r="I41" s="158"/>
    </row>
    <row r="42" spans="1:9" ht="45">
      <c r="A42" s="19" t="s">
        <v>291</v>
      </c>
      <c r="B42" s="17">
        <v>2134</v>
      </c>
      <c r="C42" s="158">
        <v>1.92</v>
      </c>
      <c r="D42" s="81"/>
      <c r="E42" s="87"/>
      <c r="F42" s="87"/>
      <c r="G42" s="87"/>
      <c r="H42" s="87"/>
      <c r="I42" s="87"/>
    </row>
    <row r="43" spans="1:9" ht="51" customHeight="1">
      <c r="A43" s="18" t="s">
        <v>87</v>
      </c>
      <c r="B43" s="22">
        <v>2140</v>
      </c>
      <c r="C43" s="181">
        <f>C46+C47+C48</f>
        <v>0.25</v>
      </c>
      <c r="D43" s="118">
        <f>D46+D47</f>
        <v>0</v>
      </c>
      <c r="E43" s="118"/>
      <c r="F43" s="118"/>
      <c r="G43" s="21"/>
      <c r="H43" s="21"/>
      <c r="I43" s="21"/>
    </row>
    <row r="44" spans="1:9" ht="106.5" customHeight="1">
      <c r="A44" s="19" t="s">
        <v>88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89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54" customHeight="1">
      <c r="A46" s="19" t="s">
        <v>249</v>
      </c>
      <c r="B46" s="17" t="s">
        <v>247</v>
      </c>
      <c r="C46" s="9"/>
      <c r="D46" s="34"/>
      <c r="E46" s="34">
        <f>F46</f>
        <v>0</v>
      </c>
      <c r="F46" s="34"/>
      <c r="G46" s="9"/>
      <c r="H46" s="9"/>
      <c r="I46" s="9"/>
    </row>
    <row r="47" spans="1:9" ht="61.5" customHeight="1">
      <c r="A47" s="19" t="s">
        <v>250</v>
      </c>
      <c r="B47" s="17" t="s">
        <v>248</v>
      </c>
      <c r="C47" s="9"/>
      <c r="D47" s="81"/>
      <c r="E47" s="81">
        <f>F47</f>
        <v>0</v>
      </c>
      <c r="F47" s="81"/>
      <c r="G47" s="9"/>
      <c r="H47" s="9"/>
      <c r="I47" s="9"/>
    </row>
    <row r="48" spans="1:9" ht="30">
      <c r="A48" s="19" t="s">
        <v>292</v>
      </c>
      <c r="B48" s="17" t="s">
        <v>293</v>
      </c>
      <c r="C48" s="81">
        <v>0.25</v>
      </c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30">
      <c r="A50" s="117" t="s">
        <v>267</v>
      </c>
      <c r="B50" s="27"/>
      <c r="C50" s="222" t="s">
        <v>90</v>
      </c>
      <c r="D50" s="223"/>
      <c r="E50" s="223"/>
      <c r="F50" s="28"/>
      <c r="G50" s="224" t="s">
        <v>276</v>
      </c>
      <c r="H50" s="224"/>
      <c r="I50" s="224"/>
    </row>
    <row r="51" spans="1:9" ht="15">
      <c r="A51" s="30" t="s">
        <v>93</v>
      </c>
      <c r="B51" s="29"/>
      <c r="C51" s="221" t="s">
        <v>92</v>
      </c>
      <c r="D51" s="221"/>
      <c r="E51" s="221"/>
      <c r="F51" s="31"/>
      <c r="G51" s="31" t="s">
        <v>91</v>
      </c>
      <c r="I51" s="32"/>
    </row>
    <row r="53" spans="1:9" ht="33" customHeight="1">
      <c r="A53" s="117" t="s">
        <v>258</v>
      </c>
      <c r="C53" s="222" t="s">
        <v>90</v>
      </c>
      <c r="D53" s="223"/>
      <c r="E53" s="223"/>
      <c r="G53" s="224" t="s">
        <v>315</v>
      </c>
      <c r="H53" s="224"/>
      <c r="I53" s="224"/>
    </row>
    <row r="54" spans="1:7" ht="19.5" customHeight="1">
      <c r="A54" s="117"/>
      <c r="C54" s="221" t="s">
        <v>92</v>
      </c>
      <c r="D54" s="221"/>
      <c r="E54" s="221"/>
      <c r="G54" s="31" t="s">
        <v>91</v>
      </c>
    </row>
    <row r="55" spans="1:9" ht="30">
      <c r="A55" s="117" t="s">
        <v>265</v>
      </c>
      <c r="B55" s="27"/>
      <c r="C55" s="222" t="s">
        <v>90</v>
      </c>
      <c r="D55" s="223"/>
      <c r="E55" s="223"/>
      <c r="F55" s="28"/>
      <c r="G55" s="224" t="s">
        <v>316</v>
      </c>
      <c r="H55" s="224"/>
      <c r="I55" s="224"/>
    </row>
    <row r="56" spans="1:9" ht="15">
      <c r="A56" s="128" t="s">
        <v>93</v>
      </c>
      <c r="B56" s="29"/>
      <c r="C56" s="221" t="s">
        <v>92</v>
      </c>
      <c r="D56" s="221"/>
      <c r="E56" s="221"/>
      <c r="F56" s="31"/>
      <c r="G56" s="31" t="s">
        <v>91</v>
      </c>
      <c r="I56" s="32"/>
    </row>
  </sheetData>
  <sheetProtection/>
  <mergeCells count="19">
    <mergeCell ref="C51:E51"/>
    <mergeCell ref="C53:E53"/>
    <mergeCell ref="G53:I53"/>
    <mergeCell ref="A7:I7"/>
    <mergeCell ref="A20:I20"/>
    <mergeCell ref="C50:E50"/>
    <mergeCell ref="G50:I50"/>
    <mergeCell ref="C54:E54"/>
    <mergeCell ref="C55:E55"/>
    <mergeCell ref="G55:I55"/>
    <mergeCell ref="C56:E56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86"/>
  <sheetViews>
    <sheetView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26.00390625" style="101" customWidth="1"/>
    <col min="2" max="2" width="6.00390625" style="101" customWidth="1"/>
    <col min="3" max="4" width="9.140625" style="101" customWidth="1"/>
    <col min="5" max="5" width="9.57421875" style="101" customWidth="1"/>
    <col min="6" max="9" width="8.7109375" style="101" customWidth="1"/>
    <col min="10" max="16384" width="9.140625" style="101" customWidth="1"/>
  </cols>
  <sheetData>
    <row r="1" spans="7:9" ht="12.75">
      <c r="G1" s="188" t="s">
        <v>164</v>
      </c>
      <c r="H1" s="188"/>
      <c r="I1" s="188"/>
    </row>
    <row r="2" spans="1:9" ht="12.75">
      <c r="A2" s="189" t="s">
        <v>165</v>
      </c>
      <c r="B2" s="189"/>
      <c r="C2" s="189"/>
      <c r="D2" s="189"/>
      <c r="E2" s="189"/>
      <c r="F2" s="189"/>
      <c r="G2" s="189"/>
      <c r="H2" s="189"/>
      <c r="I2" s="189"/>
    </row>
    <row r="3" spans="1:9" ht="6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8.75" customHeight="1">
      <c r="A4" s="190" t="s">
        <v>1</v>
      </c>
      <c r="B4" s="191" t="s">
        <v>94</v>
      </c>
      <c r="C4" s="191" t="s">
        <v>3</v>
      </c>
      <c r="D4" s="191" t="s">
        <v>95</v>
      </c>
      <c r="E4" s="192" t="s">
        <v>5</v>
      </c>
      <c r="F4" s="192" t="s">
        <v>6</v>
      </c>
      <c r="G4" s="192"/>
      <c r="H4" s="192"/>
      <c r="I4" s="192"/>
    </row>
    <row r="5" spans="1:9" ht="37.5" customHeight="1">
      <c r="A5" s="190"/>
      <c r="B5" s="191"/>
      <c r="C5" s="191"/>
      <c r="D5" s="191"/>
      <c r="E5" s="192"/>
      <c r="F5" s="92" t="s">
        <v>7</v>
      </c>
      <c r="G5" s="92" t="s">
        <v>8</v>
      </c>
      <c r="H5" s="92" t="s">
        <v>9</v>
      </c>
      <c r="I5" s="92" t="s">
        <v>10</v>
      </c>
    </row>
    <row r="6" spans="1:9" ht="12.75">
      <c r="A6" s="39">
        <v>1</v>
      </c>
      <c r="B6" s="92">
        <v>2</v>
      </c>
      <c r="C6" s="92">
        <v>3</v>
      </c>
      <c r="D6" s="92">
        <v>4</v>
      </c>
      <c r="E6" s="92">
        <v>6</v>
      </c>
      <c r="F6" s="92">
        <v>7</v>
      </c>
      <c r="G6" s="92">
        <v>8</v>
      </c>
      <c r="H6" s="92">
        <v>9</v>
      </c>
      <c r="I6" s="92">
        <v>10</v>
      </c>
    </row>
    <row r="7" spans="1:9" ht="19.5" customHeight="1">
      <c r="A7" s="193" t="s">
        <v>96</v>
      </c>
      <c r="B7" s="193"/>
      <c r="C7" s="193"/>
      <c r="D7" s="193"/>
      <c r="E7" s="193"/>
      <c r="F7" s="193"/>
      <c r="G7" s="193"/>
      <c r="H7" s="193"/>
      <c r="I7" s="193"/>
    </row>
    <row r="8" spans="1:9" ht="33" customHeight="1">
      <c r="A8" s="93" t="s">
        <v>97</v>
      </c>
      <c r="B8" s="98">
        <v>3000</v>
      </c>
      <c r="C8" s="99"/>
      <c r="D8" s="88"/>
      <c r="E8" s="99"/>
      <c r="F8" s="99"/>
      <c r="G8" s="99"/>
      <c r="H8" s="99"/>
      <c r="I8" s="99"/>
    </row>
    <row r="9" spans="1:9" ht="35.25" customHeight="1">
      <c r="A9" s="94" t="s">
        <v>98</v>
      </c>
      <c r="B9" s="95">
        <v>3010</v>
      </c>
      <c r="C9" s="96"/>
      <c r="D9" s="89"/>
      <c r="E9" s="97"/>
      <c r="F9" s="97"/>
      <c r="G9" s="97"/>
      <c r="H9" s="97"/>
      <c r="I9" s="97"/>
    </row>
    <row r="10" spans="1:9" ht="25.5">
      <c r="A10" s="94" t="s">
        <v>99</v>
      </c>
      <c r="B10" s="95">
        <v>3020</v>
      </c>
      <c r="C10" s="96"/>
      <c r="D10" s="89"/>
      <c r="E10" s="97"/>
      <c r="F10" s="97"/>
      <c r="G10" s="97"/>
      <c r="H10" s="97"/>
      <c r="I10" s="97"/>
    </row>
    <row r="11" spans="1:9" ht="15.75" customHeight="1">
      <c r="A11" s="94" t="s">
        <v>100</v>
      </c>
      <c r="B11" s="95">
        <v>3021</v>
      </c>
      <c r="C11" s="96"/>
      <c r="D11" s="89"/>
      <c r="E11" s="97"/>
      <c r="F11" s="97"/>
      <c r="G11" s="97"/>
      <c r="H11" s="97"/>
      <c r="I11" s="97"/>
    </row>
    <row r="12" spans="1:9" ht="28.5" customHeight="1">
      <c r="A12" s="94" t="s">
        <v>101</v>
      </c>
      <c r="B12" s="95">
        <v>3030</v>
      </c>
      <c r="C12" s="96"/>
      <c r="D12" s="89"/>
      <c r="E12" s="129"/>
      <c r="F12" s="129"/>
      <c r="G12" s="129"/>
      <c r="H12" s="129"/>
      <c r="I12" s="129"/>
    </row>
    <row r="13" spans="1:9" ht="25.5">
      <c r="A13" s="94" t="s">
        <v>102</v>
      </c>
      <c r="B13" s="95">
        <v>3040</v>
      </c>
      <c r="C13" s="96"/>
      <c r="D13" s="89"/>
      <c r="E13" s="97"/>
      <c r="F13" s="97"/>
      <c r="G13" s="97"/>
      <c r="H13" s="97"/>
      <c r="I13" s="97"/>
    </row>
    <row r="14" spans="1:9" ht="24.75" customHeight="1">
      <c r="A14" s="94" t="s">
        <v>166</v>
      </c>
      <c r="B14" s="95">
        <v>3050</v>
      </c>
      <c r="C14" s="96"/>
      <c r="D14" s="89"/>
      <c r="E14" s="97"/>
      <c r="F14" s="97"/>
      <c r="G14" s="97"/>
      <c r="H14" s="97"/>
      <c r="I14" s="97"/>
    </row>
    <row r="15" spans="1:9" ht="32.25" customHeight="1">
      <c r="A15" s="94" t="s">
        <v>200</v>
      </c>
      <c r="B15" s="95">
        <v>3060</v>
      </c>
      <c r="C15" s="135">
        <f>C16+C17+C18+C19+C26+C23+C20+C21</f>
        <v>62397.52</v>
      </c>
      <c r="D15" s="134">
        <f>D16+D17+D18+D19+D26+D23</f>
        <v>99039.02</v>
      </c>
      <c r="E15" s="135">
        <f>E16+E17+E18+E19+E26+E23+E22+E24+E25</f>
        <v>117098.54</v>
      </c>
      <c r="F15" s="135">
        <f>F16+F17+F18+F19+F26+F23+F22+F24+F25</f>
        <v>32286.999999999996</v>
      </c>
      <c r="G15" s="135">
        <f>G16+G17+G18+G19+G26+G23+G22+G24+G25</f>
        <v>30261.649999999998</v>
      </c>
      <c r="H15" s="135">
        <f>H16+H17+H18+H19+H26+H23+H22+H24+H25</f>
        <v>26778.16</v>
      </c>
      <c r="I15" s="135">
        <f>I16+I17+I18+I19+I26+I23+I22+I24+I25</f>
        <v>27771.729999999996</v>
      </c>
    </row>
    <row r="16" spans="1:9" ht="29.25" customHeight="1">
      <c r="A16" s="115" t="s">
        <v>204</v>
      </c>
      <c r="B16" s="95" t="s">
        <v>192</v>
      </c>
      <c r="C16" s="137">
        <v>3880.4</v>
      </c>
      <c r="D16" s="89">
        <v>3183</v>
      </c>
      <c r="E16" s="138">
        <f>F16+G16+H16+I16</f>
        <v>5426.22</v>
      </c>
      <c r="F16" s="137">
        <v>1365.8</v>
      </c>
      <c r="G16" s="137">
        <v>1364</v>
      </c>
      <c r="H16" s="137">
        <v>1355</v>
      </c>
      <c r="I16" s="137">
        <v>1341.42</v>
      </c>
    </row>
    <row r="17" spans="1:9" ht="29.25" customHeight="1">
      <c r="A17" s="115" t="s">
        <v>205</v>
      </c>
      <c r="B17" s="95" t="s">
        <v>193</v>
      </c>
      <c r="C17" s="137">
        <v>415.5</v>
      </c>
      <c r="D17" s="89">
        <v>261</v>
      </c>
      <c r="E17" s="138">
        <f>F17+G17+H17+I17</f>
        <v>353</v>
      </c>
      <c r="F17" s="137">
        <v>88</v>
      </c>
      <c r="G17" s="137">
        <v>88</v>
      </c>
      <c r="H17" s="137">
        <v>88.5</v>
      </c>
      <c r="I17" s="137">
        <v>88.5</v>
      </c>
    </row>
    <row r="18" spans="1:9" ht="34.5" customHeight="1">
      <c r="A18" s="115" t="s">
        <v>206</v>
      </c>
      <c r="B18" s="95" t="s">
        <v>194</v>
      </c>
      <c r="C18" s="137">
        <v>10.96</v>
      </c>
      <c r="D18" s="89">
        <v>8</v>
      </c>
      <c r="E18" s="138">
        <f>F18+G18+H18+I18</f>
        <v>3.6</v>
      </c>
      <c r="F18" s="137"/>
      <c r="G18" s="137">
        <v>1.8</v>
      </c>
      <c r="H18" s="137"/>
      <c r="I18" s="137">
        <v>1.8</v>
      </c>
    </row>
    <row r="19" spans="1:9" ht="41.25" customHeight="1">
      <c r="A19" s="114" t="s">
        <v>207</v>
      </c>
      <c r="B19" s="95" t="s">
        <v>195</v>
      </c>
      <c r="C19" s="137">
        <v>0</v>
      </c>
      <c r="D19" s="89">
        <v>0</v>
      </c>
      <c r="E19" s="136"/>
      <c r="F19" s="137"/>
      <c r="G19" s="137"/>
      <c r="H19" s="137"/>
      <c r="I19" s="137"/>
    </row>
    <row r="20" spans="1:9" ht="41.25" customHeight="1">
      <c r="A20" s="114" t="s">
        <v>294</v>
      </c>
      <c r="B20" s="95" t="s">
        <v>295</v>
      </c>
      <c r="C20" s="137">
        <v>38.8</v>
      </c>
      <c r="D20" s="89"/>
      <c r="E20" s="136"/>
      <c r="F20" s="137"/>
      <c r="G20" s="137"/>
      <c r="H20" s="137"/>
      <c r="I20" s="137"/>
    </row>
    <row r="21" spans="1:9" ht="30.75" customHeight="1">
      <c r="A21" s="114" t="s">
        <v>280</v>
      </c>
      <c r="B21" s="95" t="s">
        <v>296</v>
      </c>
      <c r="C21" s="137">
        <v>60.1</v>
      </c>
      <c r="D21" s="89"/>
      <c r="E21" s="136"/>
      <c r="F21" s="137"/>
      <c r="G21" s="137"/>
      <c r="H21" s="137"/>
      <c r="I21" s="137"/>
    </row>
    <row r="22" spans="1:9" ht="84.75" customHeight="1">
      <c r="A22" s="114" t="s">
        <v>277</v>
      </c>
      <c r="B22" s="95" t="s">
        <v>297</v>
      </c>
      <c r="C22" s="137"/>
      <c r="D22" s="89"/>
      <c r="E22" s="138">
        <f>F22+G22+H22+I22</f>
        <v>3163.9999999999995</v>
      </c>
      <c r="F22" s="137">
        <v>726</v>
      </c>
      <c r="G22" s="137">
        <v>763.14</v>
      </c>
      <c r="H22" s="137">
        <v>837.43</v>
      </c>
      <c r="I22" s="137">
        <v>837.43</v>
      </c>
    </row>
    <row r="23" spans="1:9" ht="32.25" customHeight="1">
      <c r="A23" s="114" t="s">
        <v>273</v>
      </c>
      <c r="B23" s="95" t="s">
        <v>309</v>
      </c>
      <c r="C23" s="137"/>
      <c r="D23" s="89">
        <v>41247.8</v>
      </c>
      <c r="E23" s="138">
        <f>F23+G23+H23+I23</f>
        <v>62808.1</v>
      </c>
      <c r="F23" s="137">
        <v>22098.1</v>
      </c>
      <c r="G23" s="137">
        <v>18870</v>
      </c>
      <c r="H23" s="137">
        <v>10920</v>
      </c>
      <c r="I23" s="137">
        <v>10920</v>
      </c>
    </row>
    <row r="24" spans="1:9" ht="32.25" customHeight="1">
      <c r="A24" s="94" t="s">
        <v>311</v>
      </c>
      <c r="B24" s="95"/>
      <c r="C24" s="137"/>
      <c r="D24" s="89"/>
      <c r="E24" s="138">
        <f>F24+G24+H24+I24</f>
        <v>642.3</v>
      </c>
      <c r="F24" s="162">
        <v>162.19</v>
      </c>
      <c r="G24" s="162">
        <v>162.19</v>
      </c>
      <c r="H24" s="162">
        <v>160.14</v>
      </c>
      <c r="I24" s="162">
        <v>157.78</v>
      </c>
    </row>
    <row r="25" spans="1:9" ht="32.25" customHeight="1">
      <c r="A25" s="94" t="s">
        <v>312</v>
      </c>
      <c r="B25" s="95"/>
      <c r="C25" s="137"/>
      <c r="D25" s="89"/>
      <c r="E25" s="138">
        <f>F25+G25+H25+I25</f>
        <v>48</v>
      </c>
      <c r="F25" s="89">
        <v>12</v>
      </c>
      <c r="G25" s="89">
        <v>12</v>
      </c>
      <c r="H25" s="89">
        <v>12</v>
      </c>
      <c r="I25" s="89">
        <v>12</v>
      </c>
    </row>
    <row r="26" spans="1:9" ht="32.25" customHeight="1">
      <c r="A26" s="132" t="s">
        <v>198</v>
      </c>
      <c r="B26" s="95"/>
      <c r="C26" s="88">
        <f>C31+C28+C29+C30+C34+C27+C32+C33</f>
        <v>57991.759999999995</v>
      </c>
      <c r="D26" s="88">
        <f>D31+D28+D29+D30+D34+D27</f>
        <v>54339.22</v>
      </c>
      <c r="E26" s="88">
        <f>F26+G26+H26+I26</f>
        <v>44653.32</v>
      </c>
      <c r="F26" s="88">
        <f>F31+F28+F29+F30+F34+F27</f>
        <v>7834.91</v>
      </c>
      <c r="G26" s="88">
        <f>G31+G28+G29+G30+G34+G27</f>
        <v>9000.52</v>
      </c>
      <c r="H26" s="88">
        <f>H31+H28+H29+H30+H34+H27</f>
        <v>13405.09</v>
      </c>
      <c r="I26" s="88">
        <f>I31+I28+I29+I30+I34+I27</f>
        <v>14412.8</v>
      </c>
    </row>
    <row r="27" spans="1:9" ht="32.25" customHeight="1">
      <c r="A27" s="114" t="s">
        <v>274</v>
      </c>
      <c r="B27" s="95"/>
      <c r="C27" s="137"/>
      <c r="D27" s="89">
        <v>7294.1</v>
      </c>
      <c r="E27" s="89"/>
      <c r="F27" s="89"/>
      <c r="G27" s="88"/>
      <c r="H27" s="88"/>
      <c r="I27" s="88"/>
    </row>
    <row r="28" spans="1:9" ht="94.5" customHeight="1">
      <c r="A28" s="94" t="s">
        <v>269</v>
      </c>
      <c r="B28" s="95"/>
      <c r="C28" s="89">
        <v>55396.7</v>
      </c>
      <c r="D28" s="89">
        <v>34158.12</v>
      </c>
      <c r="E28" s="138">
        <f>F28+G28+H28+I28</f>
        <v>34938.32</v>
      </c>
      <c r="F28" s="89">
        <v>6084.91</v>
      </c>
      <c r="G28" s="89">
        <v>6098.52</v>
      </c>
      <c r="H28" s="89">
        <v>10523.09</v>
      </c>
      <c r="I28" s="89">
        <v>12231.8</v>
      </c>
    </row>
    <row r="29" spans="1:9" ht="38.25">
      <c r="A29" s="94" t="s">
        <v>270</v>
      </c>
      <c r="B29" s="95"/>
      <c r="C29" s="89">
        <v>1061.4</v>
      </c>
      <c r="D29" s="89">
        <v>1300</v>
      </c>
      <c r="E29" s="138">
        <f>F29+G29+H29+I29</f>
        <v>1400</v>
      </c>
      <c r="F29" s="89">
        <v>340</v>
      </c>
      <c r="G29" s="89">
        <v>340</v>
      </c>
      <c r="H29" s="89">
        <v>360</v>
      </c>
      <c r="I29" s="89">
        <v>360</v>
      </c>
    </row>
    <row r="30" spans="1:9" ht="25.5">
      <c r="A30" s="115" t="s">
        <v>210</v>
      </c>
      <c r="B30" s="95"/>
      <c r="C30" s="89">
        <v>45</v>
      </c>
      <c r="D30" s="89">
        <v>55</v>
      </c>
      <c r="E30" s="138">
        <f>F30+G30+H30+I30</f>
        <v>40</v>
      </c>
      <c r="F30" s="89"/>
      <c r="G30" s="89">
        <v>40</v>
      </c>
      <c r="H30" s="89"/>
      <c r="I30" s="89"/>
    </row>
    <row r="31" spans="1:9" ht="50.25" customHeight="1">
      <c r="A31" s="114" t="s">
        <v>216</v>
      </c>
      <c r="B31" s="95"/>
      <c r="C31" s="89">
        <v>659.5</v>
      </c>
      <c r="D31" s="89">
        <v>11500</v>
      </c>
      <c r="E31" s="138">
        <f>F31+G31+H31+I31</f>
        <v>8200</v>
      </c>
      <c r="F31" s="133">
        <v>1400</v>
      </c>
      <c r="G31" s="133">
        <v>2500</v>
      </c>
      <c r="H31" s="133">
        <v>2500</v>
      </c>
      <c r="I31" s="133">
        <v>1800</v>
      </c>
    </row>
    <row r="32" spans="1:9" ht="57" customHeight="1">
      <c r="A32" s="114" t="s">
        <v>298</v>
      </c>
      <c r="B32" s="95"/>
      <c r="C32" s="89">
        <v>764.9</v>
      </c>
      <c r="D32" s="89"/>
      <c r="E32" s="89"/>
      <c r="F32" s="89"/>
      <c r="G32" s="89"/>
      <c r="H32" s="89"/>
      <c r="I32" s="89"/>
    </row>
    <row r="33" spans="1:9" ht="107.25" customHeight="1">
      <c r="A33" s="114" t="s">
        <v>299</v>
      </c>
      <c r="B33" s="95"/>
      <c r="C33" s="89">
        <v>31.74</v>
      </c>
      <c r="D33" s="89"/>
      <c r="E33" s="89"/>
      <c r="F33" s="89"/>
      <c r="G33" s="89"/>
      <c r="H33" s="89"/>
      <c r="I33" s="89"/>
    </row>
    <row r="34" spans="1:9" ht="28.5" customHeight="1">
      <c r="A34" s="114" t="s">
        <v>255</v>
      </c>
      <c r="B34" s="95"/>
      <c r="C34" s="89">
        <v>32.52</v>
      </c>
      <c r="D34" s="89">
        <v>32</v>
      </c>
      <c r="E34" s="138">
        <f>F34+G34+H34+I34</f>
        <v>75</v>
      </c>
      <c r="F34" s="89">
        <v>10</v>
      </c>
      <c r="G34" s="89">
        <v>22</v>
      </c>
      <c r="H34" s="89">
        <v>22</v>
      </c>
      <c r="I34" s="89">
        <v>21</v>
      </c>
    </row>
    <row r="35" spans="1:9" ht="27" customHeight="1">
      <c r="A35" s="93" t="s">
        <v>103</v>
      </c>
      <c r="B35" s="98">
        <v>3100</v>
      </c>
      <c r="C35" s="88">
        <f>C36+C37+C49+C41+C42+C44+C45+C46+C48</f>
        <v>61716.33</v>
      </c>
      <c r="D35" s="88">
        <f>D36+D37+D49+D41+D42+D44</f>
        <v>87084.01999999999</v>
      </c>
      <c r="E35" s="88">
        <f>F35+G35+H35+I35</f>
        <v>108618.54</v>
      </c>
      <c r="F35" s="88">
        <f>F36+F37+F49+F41+F42+F44+F45+F46</f>
        <v>30887</v>
      </c>
      <c r="G35" s="88">
        <f>G36+G37+G49+G41+G42+G44+G45+G46</f>
        <v>27681.649999999998</v>
      </c>
      <c r="H35" s="88">
        <f>H36+H37+H49+H41+H42+H44+H45+H46</f>
        <v>24178.160000000003</v>
      </c>
      <c r="I35" s="88">
        <f>I36+I37+I49+I41+I42+I44+I45+I46</f>
        <v>25871.729999999996</v>
      </c>
    </row>
    <row r="36" spans="1:9" ht="28.5" customHeight="1">
      <c r="A36" s="94" t="s">
        <v>104</v>
      </c>
      <c r="B36" s="95">
        <v>3110</v>
      </c>
      <c r="C36" s="89">
        <v>10826.1</v>
      </c>
      <c r="D36" s="89">
        <v>11003.24</v>
      </c>
      <c r="E36" s="89">
        <f>F36+G36+H36+I36</f>
        <v>22162.3</v>
      </c>
      <c r="F36" s="89">
        <v>5607.14</v>
      </c>
      <c r="G36" s="89">
        <v>5075.36</v>
      </c>
      <c r="H36" s="89">
        <v>6070.35</v>
      </c>
      <c r="I36" s="89">
        <v>5409.45</v>
      </c>
    </row>
    <row r="37" spans="1:9" ht="16.5" customHeight="1">
      <c r="A37" s="94" t="s">
        <v>105</v>
      </c>
      <c r="B37" s="95">
        <v>3120</v>
      </c>
      <c r="C37" s="89">
        <v>31740</v>
      </c>
      <c r="D37" s="89">
        <v>64870.38</v>
      </c>
      <c r="E37" s="138">
        <f>F37+G37+H37+I37</f>
        <v>55669.130000000005</v>
      </c>
      <c r="F37" s="139">
        <f>20309.45-304.64-3655.7</f>
        <v>16349.11</v>
      </c>
      <c r="G37" s="139">
        <f>18085.05-271.27-3255.31</f>
        <v>14558.47</v>
      </c>
      <c r="H37" s="139">
        <f>14413.75-216.21-2594.47</f>
        <v>11603.070000000002</v>
      </c>
      <c r="I37" s="139">
        <f>16345.95-245.19-2942.28</f>
        <v>13158.48</v>
      </c>
    </row>
    <row r="38" spans="1:9" ht="42" customHeight="1">
      <c r="A38" s="94" t="s">
        <v>167</v>
      </c>
      <c r="B38" s="95">
        <v>3130</v>
      </c>
      <c r="C38" s="89"/>
      <c r="D38" s="89"/>
      <c r="E38" s="89"/>
      <c r="F38" s="89"/>
      <c r="G38" s="89"/>
      <c r="H38" s="89"/>
      <c r="I38" s="89"/>
    </row>
    <row r="39" spans="1:9" ht="38.25">
      <c r="A39" s="94" t="s">
        <v>106</v>
      </c>
      <c r="B39" s="95">
        <v>3140</v>
      </c>
      <c r="C39" s="89"/>
      <c r="D39" s="89"/>
      <c r="E39" s="89"/>
      <c r="F39" s="89"/>
      <c r="G39" s="89"/>
      <c r="H39" s="89"/>
      <c r="I39" s="89"/>
    </row>
    <row r="40" spans="1:9" ht="15" customHeight="1">
      <c r="A40" s="94" t="s">
        <v>121</v>
      </c>
      <c r="B40" s="91">
        <v>3141</v>
      </c>
      <c r="C40" s="89"/>
      <c r="D40" s="89"/>
      <c r="E40" s="89"/>
      <c r="F40" s="89"/>
      <c r="G40" s="89"/>
      <c r="H40" s="89"/>
      <c r="I40" s="89"/>
    </row>
    <row r="41" spans="1:9" ht="12.75">
      <c r="A41" s="94" t="s">
        <v>107</v>
      </c>
      <c r="B41" s="91">
        <v>3142</v>
      </c>
      <c r="C41" s="89">
        <v>211.5</v>
      </c>
      <c r="D41" s="89">
        <v>203.4</v>
      </c>
      <c r="E41" s="138">
        <f aca="true" t="shared" si="0" ref="E41:E46">F41+G41+H41+I41</f>
        <v>642.3</v>
      </c>
      <c r="F41" s="162">
        <v>162.19</v>
      </c>
      <c r="G41" s="162">
        <v>162.19</v>
      </c>
      <c r="H41" s="162">
        <v>160.14</v>
      </c>
      <c r="I41" s="162">
        <v>157.78</v>
      </c>
    </row>
    <row r="42" spans="1:9" ht="25.5">
      <c r="A42" s="94" t="s">
        <v>78</v>
      </c>
      <c r="B42" s="91">
        <v>3143</v>
      </c>
      <c r="C42" s="89">
        <v>7116.9</v>
      </c>
      <c r="D42" s="89">
        <v>9604</v>
      </c>
      <c r="E42" s="138">
        <f t="shared" si="0"/>
        <v>12447.76</v>
      </c>
      <c r="F42" s="162">
        <v>3655.7</v>
      </c>
      <c r="G42" s="162">
        <v>3255.31</v>
      </c>
      <c r="H42" s="162">
        <v>2594.47</v>
      </c>
      <c r="I42" s="162">
        <v>2942.28</v>
      </c>
    </row>
    <row r="43" spans="1:9" ht="15.75" customHeight="1">
      <c r="A43" s="94" t="s">
        <v>199</v>
      </c>
      <c r="B43" s="91">
        <v>3144</v>
      </c>
      <c r="C43" s="89"/>
      <c r="D43" s="89"/>
      <c r="E43" s="89"/>
      <c r="F43" s="89"/>
      <c r="G43" s="89"/>
      <c r="H43" s="89"/>
      <c r="I43" s="89"/>
    </row>
    <row r="44" spans="1:9" ht="15" customHeight="1">
      <c r="A44" s="119" t="s">
        <v>81</v>
      </c>
      <c r="B44" s="91" t="s">
        <v>182</v>
      </c>
      <c r="C44" s="89">
        <v>104.1</v>
      </c>
      <c r="D44" s="89">
        <v>48</v>
      </c>
      <c r="E44" s="138">
        <f t="shared" si="0"/>
        <v>48</v>
      </c>
      <c r="F44" s="163">
        <v>12</v>
      </c>
      <c r="G44" s="163">
        <v>12</v>
      </c>
      <c r="H44" s="163">
        <v>12</v>
      </c>
      <c r="I44" s="163">
        <v>12</v>
      </c>
    </row>
    <row r="45" spans="1:9" ht="15" customHeight="1">
      <c r="A45" s="119" t="s">
        <v>300</v>
      </c>
      <c r="B45" s="91" t="s">
        <v>301</v>
      </c>
      <c r="C45" s="89">
        <v>599.5</v>
      </c>
      <c r="D45" s="89"/>
      <c r="E45" s="138">
        <f t="shared" si="0"/>
        <v>1037.31</v>
      </c>
      <c r="F45" s="164">
        <v>304.64</v>
      </c>
      <c r="G45" s="164">
        <v>271.27</v>
      </c>
      <c r="H45" s="164">
        <v>216.21</v>
      </c>
      <c r="I45" s="164">
        <v>245.19</v>
      </c>
    </row>
    <row r="46" spans="1:9" ht="45" customHeight="1">
      <c r="A46" s="119" t="s">
        <v>310</v>
      </c>
      <c r="B46" s="91" t="s">
        <v>302</v>
      </c>
      <c r="C46" s="89">
        <v>8537.6</v>
      </c>
      <c r="D46" s="89"/>
      <c r="E46" s="138">
        <f t="shared" si="0"/>
        <v>15171.740000000002</v>
      </c>
      <c r="F46" s="164">
        <v>4456.22</v>
      </c>
      <c r="G46" s="164">
        <v>3967.05</v>
      </c>
      <c r="H46" s="164">
        <v>3161.92</v>
      </c>
      <c r="I46" s="164">
        <v>3586.55</v>
      </c>
    </row>
    <row r="47" spans="1:9" ht="16.5" customHeight="1">
      <c r="A47" s="94" t="s">
        <v>108</v>
      </c>
      <c r="B47" s="91">
        <v>3150</v>
      </c>
      <c r="C47" s="89"/>
      <c r="D47" s="89"/>
      <c r="E47" s="89"/>
      <c r="F47" s="89"/>
      <c r="G47" s="89"/>
      <c r="H47" s="89"/>
      <c r="I47" s="89"/>
    </row>
    <row r="48" spans="1:9" ht="14.25" customHeight="1">
      <c r="A48" s="94" t="s">
        <v>109</v>
      </c>
      <c r="B48" s="95">
        <v>3160</v>
      </c>
      <c r="C48" s="89">
        <v>46.3</v>
      </c>
      <c r="D48" s="89"/>
      <c r="E48" s="89"/>
      <c r="F48" s="89"/>
      <c r="G48" s="89"/>
      <c r="H48" s="89"/>
      <c r="I48" s="89"/>
    </row>
    <row r="49" spans="1:9" ht="16.5" customHeight="1">
      <c r="A49" s="94" t="s">
        <v>19</v>
      </c>
      <c r="B49" s="95">
        <v>3170</v>
      </c>
      <c r="C49" s="89">
        <f>C50+C51+C52+C53+C54</f>
        <v>2534.33</v>
      </c>
      <c r="D49" s="88">
        <f aca="true" t="shared" si="1" ref="D49:I49">D51+D52+D55</f>
        <v>1355</v>
      </c>
      <c r="E49" s="88">
        <f>E51+E52+E55</f>
        <v>1440</v>
      </c>
      <c r="F49" s="88">
        <f>F51+F52+F55</f>
        <v>340</v>
      </c>
      <c r="G49" s="88">
        <f t="shared" si="1"/>
        <v>380</v>
      </c>
      <c r="H49" s="88">
        <f t="shared" si="1"/>
        <v>360</v>
      </c>
      <c r="I49" s="88">
        <f t="shared" si="1"/>
        <v>360</v>
      </c>
    </row>
    <row r="50" spans="1:9" ht="16.5" customHeight="1">
      <c r="A50" s="94" t="s">
        <v>307</v>
      </c>
      <c r="B50" s="95" t="s">
        <v>251</v>
      </c>
      <c r="C50" s="89">
        <v>761.59</v>
      </c>
      <c r="D50" s="88"/>
      <c r="E50" s="88"/>
      <c r="F50" s="88"/>
      <c r="G50" s="88"/>
      <c r="H50" s="88"/>
      <c r="I50" s="88"/>
    </row>
    <row r="51" spans="1:9" ht="30" customHeight="1">
      <c r="A51" s="94" t="s">
        <v>209</v>
      </c>
      <c r="B51" s="95" t="s">
        <v>252</v>
      </c>
      <c r="C51" s="89">
        <v>1061.1</v>
      </c>
      <c r="D51" s="89">
        <v>1300</v>
      </c>
      <c r="E51" s="138">
        <f>F51+G51+H51+I51</f>
        <v>1400</v>
      </c>
      <c r="F51" s="89">
        <v>340</v>
      </c>
      <c r="G51" s="89">
        <v>340</v>
      </c>
      <c r="H51" s="89">
        <v>360</v>
      </c>
      <c r="I51" s="89">
        <v>360</v>
      </c>
    </row>
    <row r="52" spans="1:9" ht="42" customHeight="1">
      <c r="A52" s="115" t="s">
        <v>211</v>
      </c>
      <c r="B52" s="95" t="s">
        <v>303</v>
      </c>
      <c r="C52" s="89">
        <v>45</v>
      </c>
      <c r="D52" s="89">
        <v>55</v>
      </c>
      <c r="E52" s="138">
        <f>F52+G52+H52+I52</f>
        <v>40</v>
      </c>
      <c r="F52" s="89"/>
      <c r="G52" s="89">
        <v>40</v>
      </c>
      <c r="H52" s="89"/>
      <c r="I52" s="89"/>
    </row>
    <row r="53" spans="1:9" ht="101.25" customHeight="1">
      <c r="A53" s="114" t="s">
        <v>299</v>
      </c>
      <c r="B53" s="95" t="s">
        <v>304</v>
      </c>
      <c r="C53" s="89">
        <v>27.64</v>
      </c>
      <c r="D53" s="89"/>
      <c r="E53" s="89"/>
      <c r="F53" s="89"/>
      <c r="G53" s="89"/>
      <c r="H53" s="89"/>
      <c r="I53" s="89"/>
    </row>
    <row r="54" spans="1:9" ht="71.25" customHeight="1">
      <c r="A54" s="114" t="s">
        <v>305</v>
      </c>
      <c r="B54" s="95" t="s">
        <v>308</v>
      </c>
      <c r="C54" s="89">
        <v>639</v>
      </c>
      <c r="D54" s="89"/>
      <c r="E54" s="89"/>
      <c r="F54" s="89"/>
      <c r="G54" s="89"/>
      <c r="H54" s="89"/>
      <c r="I54" s="89"/>
    </row>
    <row r="55" spans="1:9" ht="12.75">
      <c r="A55" s="94"/>
      <c r="B55" s="95"/>
      <c r="C55" s="89"/>
      <c r="D55" s="97"/>
      <c r="E55" s="97"/>
      <c r="F55" s="97"/>
      <c r="G55" s="97"/>
      <c r="H55" s="97"/>
      <c r="I55" s="97"/>
    </row>
    <row r="56" spans="1:9" ht="27.75" customHeight="1">
      <c r="A56" s="93" t="s">
        <v>110</v>
      </c>
      <c r="B56" s="98">
        <v>3195</v>
      </c>
      <c r="C56" s="88"/>
      <c r="D56" s="88"/>
      <c r="E56" s="99"/>
      <c r="F56" s="99"/>
      <c r="G56" s="99"/>
      <c r="H56" s="99"/>
      <c r="I56" s="99"/>
    </row>
    <row r="57" spans="1:9" ht="19.5" customHeight="1">
      <c r="A57" s="193" t="s">
        <v>111</v>
      </c>
      <c r="B57" s="193"/>
      <c r="C57" s="193"/>
      <c r="D57" s="193"/>
      <c r="E57" s="193"/>
      <c r="F57" s="193"/>
      <c r="G57" s="193"/>
      <c r="H57" s="193"/>
      <c r="I57" s="193"/>
    </row>
    <row r="58" spans="1:9" ht="43.5" customHeight="1">
      <c r="A58" s="93" t="s">
        <v>112</v>
      </c>
      <c r="B58" s="98">
        <v>3200</v>
      </c>
      <c r="C58" s="88">
        <f>C64</f>
        <v>1325</v>
      </c>
      <c r="D58" s="99"/>
      <c r="E58" s="99"/>
      <c r="F58" s="99"/>
      <c r="G58" s="99"/>
      <c r="H58" s="99"/>
      <c r="I58" s="99"/>
    </row>
    <row r="59" spans="1:9" ht="25.5">
      <c r="A59" s="94" t="s">
        <v>113</v>
      </c>
      <c r="B59" s="91">
        <v>3210</v>
      </c>
      <c r="C59" s="96"/>
      <c r="D59" s="96"/>
      <c r="E59" s="96"/>
      <c r="F59" s="96"/>
      <c r="G59" s="96"/>
      <c r="H59" s="96"/>
      <c r="I59" s="96"/>
    </row>
    <row r="60" spans="1:9" ht="30" customHeight="1">
      <c r="A60" s="94" t="s">
        <v>114</v>
      </c>
      <c r="B60" s="95">
        <v>3220</v>
      </c>
      <c r="C60" s="96"/>
      <c r="D60" s="96"/>
      <c r="E60" s="96"/>
      <c r="F60" s="96"/>
      <c r="G60" s="96"/>
      <c r="H60" s="96"/>
      <c r="I60" s="96"/>
    </row>
    <row r="61" spans="1:9" ht="26.25" customHeight="1">
      <c r="A61" s="94" t="s">
        <v>200</v>
      </c>
      <c r="B61" s="95">
        <v>3230</v>
      </c>
      <c r="C61" s="96"/>
      <c r="D61" s="96"/>
      <c r="E61" s="96"/>
      <c r="F61" s="96"/>
      <c r="G61" s="96"/>
      <c r="H61" s="96"/>
      <c r="I61" s="96"/>
    </row>
    <row r="62" spans="1:9" ht="10.5" customHeight="1">
      <c r="A62" s="94"/>
      <c r="B62" s="95"/>
      <c r="C62" s="96"/>
      <c r="D62" s="96"/>
      <c r="E62" s="96"/>
      <c r="F62" s="96"/>
      <c r="G62" s="96"/>
      <c r="H62" s="96"/>
      <c r="I62" s="96"/>
    </row>
    <row r="63" spans="1:9" ht="10.5" customHeight="1">
      <c r="A63" s="94"/>
      <c r="B63" s="95"/>
      <c r="C63" s="96"/>
      <c r="D63" s="96"/>
      <c r="E63" s="96"/>
      <c r="F63" s="96"/>
      <c r="G63" s="96"/>
      <c r="H63" s="96"/>
      <c r="I63" s="96"/>
    </row>
    <row r="64" spans="1:9" ht="29.25" customHeight="1">
      <c r="A64" s="93" t="s">
        <v>115</v>
      </c>
      <c r="B64" s="98">
        <v>3255</v>
      </c>
      <c r="C64" s="88">
        <f aca="true" t="shared" si="2" ref="C64:I64">C65+C67</f>
        <v>1325</v>
      </c>
      <c r="D64" s="88">
        <f t="shared" si="2"/>
        <v>11955</v>
      </c>
      <c r="E64" s="88">
        <f t="shared" si="2"/>
        <v>8480</v>
      </c>
      <c r="F64" s="88">
        <f t="shared" si="2"/>
        <v>1400</v>
      </c>
      <c r="G64" s="88">
        <f t="shared" si="2"/>
        <v>2580</v>
      </c>
      <c r="H64" s="88">
        <f t="shared" si="2"/>
        <v>2600</v>
      </c>
      <c r="I64" s="88">
        <f t="shared" si="2"/>
        <v>1900</v>
      </c>
    </row>
    <row r="65" spans="1:9" ht="44.25" customHeight="1">
      <c r="A65" s="94" t="s">
        <v>201</v>
      </c>
      <c r="B65" s="95">
        <v>3260</v>
      </c>
      <c r="C65" s="97">
        <v>864</v>
      </c>
      <c r="D65" s="89">
        <v>11500</v>
      </c>
      <c r="E65" s="138">
        <f>F65+G65+H65+I65</f>
        <v>8200</v>
      </c>
      <c r="F65" s="133">
        <v>1400</v>
      </c>
      <c r="G65" s="133">
        <v>2500</v>
      </c>
      <c r="H65" s="133">
        <v>2500</v>
      </c>
      <c r="I65" s="133">
        <v>1800</v>
      </c>
    </row>
    <row r="66" spans="1:9" ht="31.5" customHeight="1">
      <c r="A66" s="94" t="s">
        <v>202</v>
      </c>
      <c r="B66" s="95">
        <v>3265</v>
      </c>
      <c r="C66" s="96"/>
      <c r="D66" s="96"/>
      <c r="E66" s="100"/>
      <c r="F66" s="96"/>
      <c r="G66" s="96"/>
      <c r="H66" s="96"/>
      <c r="I66" s="96"/>
    </row>
    <row r="67" spans="1:9" ht="43.5" customHeight="1">
      <c r="A67" s="94" t="s">
        <v>203</v>
      </c>
      <c r="B67" s="95">
        <v>3270</v>
      </c>
      <c r="C67" s="89">
        <v>461</v>
      </c>
      <c r="D67" s="89">
        <v>455</v>
      </c>
      <c r="E67" s="138">
        <f>F67+G67+H67+I67</f>
        <v>280</v>
      </c>
      <c r="F67" s="89"/>
      <c r="G67" s="89">
        <v>80</v>
      </c>
      <c r="H67" s="89">
        <v>100</v>
      </c>
      <c r="I67" s="89">
        <v>100</v>
      </c>
    </row>
    <row r="68" spans="1:9" ht="18.75" customHeight="1">
      <c r="A68" s="94" t="s">
        <v>19</v>
      </c>
      <c r="B68" s="95">
        <v>3280</v>
      </c>
      <c r="C68" s="96"/>
      <c r="D68" s="96"/>
      <c r="E68" s="96"/>
      <c r="F68" s="96"/>
      <c r="G68" s="96"/>
      <c r="H68" s="96"/>
      <c r="I68" s="96"/>
    </row>
    <row r="69" spans="1:9" ht="30.75" customHeight="1">
      <c r="A69" s="130" t="s">
        <v>116</v>
      </c>
      <c r="B69" s="98">
        <v>3295</v>
      </c>
      <c r="C69" s="99"/>
      <c r="D69" s="99"/>
      <c r="E69" s="99"/>
      <c r="F69" s="99"/>
      <c r="G69" s="99"/>
      <c r="H69" s="99"/>
      <c r="I69" s="99"/>
    </row>
    <row r="70" spans="1:9" ht="12.75">
      <c r="A70" s="93" t="s">
        <v>117</v>
      </c>
      <c r="B70" s="98">
        <v>3400</v>
      </c>
      <c r="C70" s="161">
        <f>C72-C71</f>
        <v>681.1899999999999</v>
      </c>
      <c r="D70" s="99"/>
      <c r="E70" s="99"/>
      <c r="F70" s="99"/>
      <c r="G70" s="99"/>
      <c r="H70" s="99"/>
      <c r="I70" s="99"/>
    </row>
    <row r="71" spans="1:9" ht="29.25" customHeight="1">
      <c r="A71" s="94" t="s">
        <v>118</v>
      </c>
      <c r="B71" s="95">
        <v>3405</v>
      </c>
      <c r="C71" s="89">
        <v>317.11</v>
      </c>
      <c r="D71" s="96"/>
      <c r="E71" s="96"/>
      <c r="F71" s="96"/>
      <c r="G71" s="96"/>
      <c r="H71" s="96"/>
      <c r="I71" s="96"/>
    </row>
    <row r="72" spans="1:9" ht="28.5" customHeight="1">
      <c r="A72" s="94" t="s">
        <v>119</v>
      </c>
      <c r="B72" s="95">
        <v>3415</v>
      </c>
      <c r="C72" s="89">
        <v>998.3</v>
      </c>
      <c r="D72" s="89"/>
      <c r="E72" s="89"/>
      <c r="F72" s="89"/>
      <c r="G72" s="89"/>
      <c r="H72" s="89"/>
      <c r="I72" s="89"/>
    </row>
    <row r="73" spans="1:9" ht="12.75">
      <c r="A73" s="103"/>
      <c r="B73" s="104"/>
      <c r="C73" s="105"/>
      <c r="D73" s="106"/>
      <c r="E73" s="107"/>
      <c r="F73" s="106"/>
      <c r="G73" s="106"/>
      <c r="H73" s="106"/>
      <c r="I73" s="106"/>
    </row>
    <row r="74" spans="1:13" ht="21" customHeight="1">
      <c r="A74" s="117" t="s">
        <v>271</v>
      </c>
      <c r="B74" s="27"/>
      <c r="C74" s="222" t="s">
        <v>263</v>
      </c>
      <c r="D74" s="223"/>
      <c r="E74" s="223"/>
      <c r="F74" s="28"/>
      <c r="G74" s="224" t="s">
        <v>276</v>
      </c>
      <c r="H74" s="224"/>
      <c r="I74" s="224"/>
      <c r="K74" s="108"/>
      <c r="L74" s="108"/>
      <c r="M74" s="108"/>
    </row>
    <row r="75" spans="1:13" ht="15">
      <c r="A75" s="30" t="s">
        <v>317</v>
      </c>
      <c r="B75" s="29"/>
      <c r="C75" s="221" t="s">
        <v>92</v>
      </c>
      <c r="D75" s="221"/>
      <c r="E75" s="221"/>
      <c r="F75" s="31"/>
      <c r="G75" s="31" t="s">
        <v>91</v>
      </c>
      <c r="H75" s="13"/>
      <c r="I75" s="32"/>
      <c r="K75" s="109"/>
      <c r="L75" s="109"/>
      <c r="M75" s="109"/>
    </row>
    <row r="76" spans="1:9" ht="14.25">
      <c r="A76" s="13"/>
      <c r="B76" s="13"/>
      <c r="C76" s="13"/>
      <c r="D76" s="13"/>
      <c r="E76" s="165"/>
      <c r="F76" s="165"/>
      <c r="G76" s="165"/>
      <c r="H76" s="165"/>
      <c r="I76" s="165"/>
    </row>
    <row r="77" spans="1:9" ht="30">
      <c r="A77" s="117" t="s">
        <v>258</v>
      </c>
      <c r="B77" s="13"/>
      <c r="C77" s="222" t="s">
        <v>122</v>
      </c>
      <c r="D77" s="223"/>
      <c r="E77" s="223"/>
      <c r="F77" s="13"/>
      <c r="G77" s="224" t="s">
        <v>315</v>
      </c>
      <c r="H77" s="224"/>
      <c r="I77" s="224"/>
    </row>
    <row r="78" spans="1:9" ht="15">
      <c r="A78" s="117"/>
      <c r="B78" s="13"/>
      <c r="C78" s="221" t="s">
        <v>92</v>
      </c>
      <c r="D78" s="221"/>
      <c r="E78" s="221"/>
      <c r="F78" s="13"/>
      <c r="G78" s="31" t="s">
        <v>91</v>
      </c>
      <c r="H78" s="13"/>
      <c r="I78" s="13"/>
    </row>
    <row r="79" spans="1:9" ht="27" customHeight="1">
      <c r="A79" s="117" t="s">
        <v>243</v>
      </c>
      <c r="B79" s="27"/>
      <c r="C79" s="222" t="s">
        <v>122</v>
      </c>
      <c r="D79" s="223"/>
      <c r="E79" s="223"/>
      <c r="F79" s="28"/>
      <c r="G79" s="224" t="s">
        <v>316</v>
      </c>
      <c r="H79" s="224"/>
      <c r="I79" s="224"/>
    </row>
    <row r="80" spans="1:9" ht="15">
      <c r="A80" s="30" t="s">
        <v>317</v>
      </c>
      <c r="B80" s="29"/>
      <c r="C80" s="221" t="s">
        <v>92</v>
      </c>
      <c r="D80" s="221"/>
      <c r="E80" s="221"/>
      <c r="F80" s="31"/>
      <c r="G80" s="31" t="s">
        <v>91</v>
      </c>
      <c r="H80" s="13"/>
      <c r="I80" s="32"/>
    </row>
    <row r="81" spans="1:9" ht="14.2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4.2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10"/>
      <c r="B83" s="110"/>
      <c r="C83" s="110"/>
      <c r="D83" s="110"/>
      <c r="E83" s="110"/>
      <c r="F83" s="110"/>
      <c r="G83" s="110"/>
      <c r="H83" s="110"/>
      <c r="I83" s="110"/>
    </row>
    <row r="84" spans="1:9" ht="12.75">
      <c r="A84" s="110"/>
      <c r="B84" s="110"/>
      <c r="C84" s="110"/>
      <c r="D84" s="110"/>
      <c r="E84" s="110"/>
      <c r="F84" s="110"/>
      <c r="G84" s="110"/>
      <c r="H84" s="110"/>
      <c r="I84" s="110"/>
    </row>
    <row r="85" spans="1:9" ht="12.75">
      <c r="A85" s="110"/>
      <c r="B85" s="110"/>
      <c r="C85" s="110"/>
      <c r="D85" s="110"/>
      <c r="E85" s="110"/>
      <c r="F85" s="110"/>
      <c r="G85" s="110"/>
      <c r="H85" s="110"/>
      <c r="I85" s="110"/>
    </row>
    <row r="86" spans="1:9" ht="12.75">
      <c r="A86" s="110"/>
      <c r="B86" s="110"/>
      <c r="C86" s="110"/>
      <c r="D86" s="110"/>
      <c r="E86" s="110"/>
      <c r="F86" s="110"/>
      <c r="G86" s="110"/>
      <c r="H86" s="110"/>
      <c r="I86" s="110"/>
    </row>
  </sheetData>
  <sheetProtection/>
  <mergeCells count="19">
    <mergeCell ref="C75:E75"/>
    <mergeCell ref="C77:E77"/>
    <mergeCell ref="G77:I77"/>
    <mergeCell ref="A7:I7"/>
    <mergeCell ref="A57:I57"/>
    <mergeCell ref="C74:E74"/>
    <mergeCell ref="G74:I74"/>
    <mergeCell ref="C78:E78"/>
    <mergeCell ref="C79:E79"/>
    <mergeCell ref="G79:I79"/>
    <mergeCell ref="C80:E80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0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="120" zoomScaleNormal="120" zoomScaleSheetLayoutView="90" zoomScalePageLayoutView="0" workbookViewId="0" topLeftCell="A1">
      <selection activeCell="A2" sqref="A2:I2"/>
    </sheetView>
  </sheetViews>
  <sheetFormatPr defaultColWidth="9.140625" defaultRowHeight="12.75"/>
  <cols>
    <col min="1" max="1" width="27.28125" style="13" customWidth="1"/>
    <col min="2" max="2" width="6.421875" style="13" customWidth="1"/>
    <col min="3" max="3" width="8.7109375" style="13" customWidth="1"/>
    <col min="4" max="4" width="9.7109375" style="13" customWidth="1"/>
    <col min="5" max="5" width="8.7109375" style="13" customWidth="1"/>
    <col min="6" max="9" width="8.421875" style="13" customWidth="1"/>
    <col min="10" max="16384" width="9.140625" style="13" customWidth="1"/>
  </cols>
  <sheetData>
    <row r="1" spans="7:9" ht="15.75">
      <c r="G1" s="214" t="s">
        <v>169</v>
      </c>
      <c r="H1" s="214"/>
      <c r="I1" s="214"/>
    </row>
    <row r="2" spans="1:9" ht="15.75">
      <c r="A2" s="194" t="s">
        <v>124</v>
      </c>
      <c r="B2" s="194"/>
      <c r="C2" s="194"/>
      <c r="D2" s="194"/>
      <c r="E2" s="194"/>
      <c r="F2" s="194"/>
      <c r="G2" s="194"/>
      <c r="H2" s="194"/>
      <c r="I2" s="194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6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95" t="s">
        <v>6</v>
      </c>
      <c r="G4" s="186"/>
      <c r="H4" s="186"/>
      <c r="I4" s="226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54" customHeight="1">
      <c r="A7" s="8" t="s">
        <v>125</v>
      </c>
      <c r="B7" s="33">
        <v>4000</v>
      </c>
      <c r="C7" s="84">
        <f>C9+C10</f>
        <v>1325</v>
      </c>
      <c r="D7" s="84">
        <f>D9+D10</f>
        <v>11955</v>
      </c>
      <c r="E7" s="82">
        <f>F7+G7+H7+I7</f>
        <v>8480</v>
      </c>
      <c r="F7" s="84">
        <f>F9+F10</f>
        <v>1400</v>
      </c>
      <c r="G7" s="84">
        <f>G9+G10</f>
        <v>2580</v>
      </c>
      <c r="H7" s="84">
        <f>H9+H10</f>
        <v>2600</v>
      </c>
      <c r="I7" s="84">
        <f>I9+I10</f>
        <v>1900</v>
      </c>
    </row>
    <row r="8" spans="1:9" ht="15">
      <c r="A8" s="4" t="s">
        <v>126</v>
      </c>
      <c r="B8" s="34" t="s">
        <v>127</v>
      </c>
      <c r="C8" s="9"/>
      <c r="D8" s="9"/>
      <c r="E8" s="9"/>
      <c r="F8" s="9"/>
      <c r="G8" s="9"/>
      <c r="H8" s="9"/>
      <c r="I8" s="9"/>
    </row>
    <row r="9" spans="1:9" ht="30">
      <c r="A9" s="4" t="s">
        <v>128</v>
      </c>
      <c r="B9" s="33">
        <v>4020</v>
      </c>
      <c r="C9" s="97">
        <v>864</v>
      </c>
      <c r="D9" s="81">
        <v>11500</v>
      </c>
      <c r="E9" s="82">
        <f>F9+G9+H9+I9</f>
        <v>8200</v>
      </c>
      <c r="F9" s="97">
        <v>1400</v>
      </c>
      <c r="G9" s="97">
        <v>2500</v>
      </c>
      <c r="H9" s="97">
        <v>2500</v>
      </c>
      <c r="I9" s="97">
        <v>1800</v>
      </c>
    </row>
    <row r="10" spans="1:9" ht="45">
      <c r="A10" s="4" t="s">
        <v>129</v>
      </c>
      <c r="B10" s="34">
        <v>4030</v>
      </c>
      <c r="C10" s="89">
        <v>461</v>
      </c>
      <c r="D10" s="81">
        <v>455</v>
      </c>
      <c r="E10" s="82">
        <f>F10+G10+H10+I10</f>
        <v>280</v>
      </c>
      <c r="F10" s="89"/>
      <c r="G10" s="89">
        <v>80</v>
      </c>
      <c r="H10" s="89">
        <v>100</v>
      </c>
      <c r="I10" s="89">
        <v>100</v>
      </c>
    </row>
    <row r="11" spans="1:9" ht="30">
      <c r="A11" s="4" t="s">
        <v>130</v>
      </c>
      <c r="B11" s="33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131</v>
      </c>
      <c r="B12" s="34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132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 customHeight="1">
      <c r="A17" s="117" t="s">
        <v>268</v>
      </c>
      <c r="B17" s="27"/>
      <c r="C17" s="222" t="s">
        <v>262</v>
      </c>
      <c r="D17" s="223"/>
      <c r="E17" s="223"/>
      <c r="F17" s="28"/>
      <c r="G17" s="224" t="s">
        <v>276</v>
      </c>
      <c r="H17" s="224"/>
      <c r="I17" s="224"/>
    </row>
    <row r="18" spans="1:9" ht="15">
      <c r="A18" s="30" t="s">
        <v>317</v>
      </c>
      <c r="B18" s="29"/>
      <c r="C18" s="221" t="s">
        <v>92</v>
      </c>
      <c r="D18" s="221"/>
      <c r="E18" s="221"/>
      <c r="F18" s="31"/>
      <c r="G18" s="31" t="s">
        <v>91</v>
      </c>
      <c r="I18" s="32"/>
    </row>
    <row r="20" spans="1:9" ht="30">
      <c r="A20" s="117" t="s">
        <v>258</v>
      </c>
      <c r="C20" s="222" t="s">
        <v>261</v>
      </c>
      <c r="D20" s="223"/>
      <c r="E20" s="223"/>
      <c r="G20" s="224" t="s">
        <v>315</v>
      </c>
      <c r="H20" s="224"/>
      <c r="I20" s="224"/>
    </row>
    <row r="21" spans="1:7" ht="15">
      <c r="A21" s="117"/>
      <c r="C21" s="221" t="s">
        <v>92</v>
      </c>
      <c r="D21" s="221"/>
      <c r="E21" s="221"/>
      <c r="G21" s="31" t="s">
        <v>91</v>
      </c>
    </row>
    <row r="22" spans="1:9" ht="15">
      <c r="A22" s="117" t="s">
        <v>243</v>
      </c>
      <c r="B22" s="27"/>
      <c r="C22" s="222" t="s">
        <v>261</v>
      </c>
      <c r="D22" s="223"/>
      <c r="E22" s="223"/>
      <c r="F22" s="28"/>
      <c r="G22" s="224" t="s">
        <v>316</v>
      </c>
      <c r="H22" s="224"/>
      <c r="I22" s="224"/>
    </row>
    <row r="23" spans="1:9" ht="15">
      <c r="A23" s="30" t="s">
        <v>318</v>
      </c>
      <c r="B23" s="29"/>
      <c r="C23" s="221" t="s">
        <v>92</v>
      </c>
      <c r="D23" s="221"/>
      <c r="E23" s="221"/>
      <c r="F23" s="31"/>
      <c r="G23" s="31" t="s">
        <v>91</v>
      </c>
      <c r="I23" s="32"/>
    </row>
  </sheetData>
  <sheetProtection/>
  <mergeCells count="12">
    <mergeCell ref="C22:E22"/>
    <mergeCell ref="G22:I22"/>
    <mergeCell ref="C23:E23"/>
    <mergeCell ref="G1:I1"/>
    <mergeCell ref="A2:I2"/>
    <mergeCell ref="F4:I4"/>
    <mergeCell ref="C17:E17"/>
    <mergeCell ref="G17:I17"/>
    <mergeCell ref="C18:E18"/>
    <mergeCell ref="C20:E20"/>
    <mergeCell ref="G20:I20"/>
    <mergeCell ref="C21:E2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zoomScaleSheetLayoutView="90" zoomScalePageLayoutView="0" workbookViewId="0" topLeftCell="A2">
      <selection activeCell="A2" sqref="A2:D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7.57421875" style="0" customWidth="1"/>
    <col min="4" max="4" width="15.7109375" style="0" customWidth="1"/>
  </cols>
  <sheetData>
    <row r="1" spans="1:4" ht="15.75">
      <c r="A1" s="65"/>
      <c r="B1" s="65"/>
      <c r="D1" s="62" t="s">
        <v>170</v>
      </c>
    </row>
    <row r="2" spans="1:4" ht="15.75">
      <c r="A2" s="194" t="s">
        <v>172</v>
      </c>
      <c r="B2" s="194"/>
      <c r="C2" s="194"/>
      <c r="D2" s="194"/>
    </row>
    <row r="3" spans="1:4" ht="15.75">
      <c r="A3" s="37"/>
      <c r="B3" s="37"/>
      <c r="C3" s="37"/>
      <c r="D3" s="37"/>
    </row>
    <row r="4" spans="1:4" ht="33.75" customHeight="1">
      <c r="A4" s="36" t="s">
        <v>1</v>
      </c>
      <c r="B4" s="6" t="s">
        <v>3</v>
      </c>
      <c r="C4" s="6" t="s">
        <v>133</v>
      </c>
      <c r="D4" s="6" t="s">
        <v>134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4" ht="75" customHeight="1">
      <c r="A6" s="76" t="s">
        <v>173</v>
      </c>
      <c r="B6" s="145">
        <f>B7+B8+B9</f>
        <v>505</v>
      </c>
      <c r="C6" s="122">
        <f>C7+C8+C9</f>
        <v>516.5</v>
      </c>
      <c r="D6" s="122">
        <f>D7+D8+D9</f>
        <v>489.25</v>
      </c>
    </row>
    <row r="7" spans="1:4" ht="15" customHeight="1">
      <c r="A7" s="77" t="s">
        <v>135</v>
      </c>
      <c r="B7" s="97">
        <v>1</v>
      </c>
      <c r="C7" s="123">
        <v>1</v>
      </c>
      <c r="D7" s="123">
        <v>1</v>
      </c>
    </row>
    <row r="8" spans="1:4" ht="30" customHeight="1">
      <c r="A8" s="77" t="s">
        <v>136</v>
      </c>
      <c r="B8" s="97">
        <v>58</v>
      </c>
      <c r="C8" s="123">
        <v>67.25</v>
      </c>
      <c r="D8" s="123">
        <v>63.25</v>
      </c>
    </row>
    <row r="9" spans="1:4" ht="15" customHeight="1">
      <c r="A9" s="77" t="s">
        <v>137</v>
      </c>
      <c r="B9" s="97">
        <v>446</v>
      </c>
      <c r="C9" s="123">
        <v>448.25</v>
      </c>
      <c r="D9" s="123">
        <v>425</v>
      </c>
    </row>
    <row r="10" spans="1:4" ht="29.25" customHeight="1">
      <c r="A10" s="76" t="s">
        <v>138</v>
      </c>
      <c r="B10" s="183">
        <f>B11+B12+B13</f>
        <v>39510.8</v>
      </c>
      <c r="C10" s="184">
        <f>C11+C12+C13</f>
        <v>53355.5</v>
      </c>
      <c r="D10" s="184">
        <f>D11+D12+D13</f>
        <v>69154.2</v>
      </c>
    </row>
    <row r="11" spans="1:4" ht="15" customHeight="1">
      <c r="A11" s="77" t="s">
        <v>135</v>
      </c>
      <c r="B11" s="97">
        <v>310.5</v>
      </c>
      <c r="C11" s="185">
        <v>308.1</v>
      </c>
      <c r="D11" s="185">
        <v>420.75</v>
      </c>
    </row>
    <row r="12" spans="1:4" ht="24" customHeight="1">
      <c r="A12" s="77" t="s">
        <v>136</v>
      </c>
      <c r="B12" s="97">
        <v>4197</v>
      </c>
      <c r="C12" s="185">
        <v>5641.9</v>
      </c>
      <c r="D12" s="185">
        <v>7129.25</v>
      </c>
    </row>
    <row r="13" spans="1:4" ht="15" customHeight="1">
      <c r="A13" s="77" t="s">
        <v>137</v>
      </c>
      <c r="B13" s="97">
        <v>35003.3</v>
      </c>
      <c r="C13" s="185">
        <v>47405.5</v>
      </c>
      <c r="D13" s="185">
        <v>61604.2</v>
      </c>
    </row>
    <row r="14" spans="1:4" ht="45" customHeight="1">
      <c r="A14" s="76" t="s">
        <v>168</v>
      </c>
      <c r="B14" s="183">
        <f aca="true" t="shared" si="0" ref="B14:C17">B10/B6/12*1000</f>
        <v>6519.933993399341</v>
      </c>
      <c r="C14" s="184">
        <f t="shared" si="0"/>
        <v>8608.502742820265</v>
      </c>
      <c r="D14" s="184">
        <f>D10/D6/12*1000</f>
        <v>11778.947368421052</v>
      </c>
    </row>
    <row r="15" spans="1:4" ht="15" customHeight="1">
      <c r="A15" s="77" t="s">
        <v>135</v>
      </c>
      <c r="B15" s="183">
        <f t="shared" si="0"/>
        <v>25875</v>
      </c>
      <c r="C15" s="184">
        <f t="shared" si="0"/>
        <v>25675</v>
      </c>
      <c r="D15" s="184">
        <f>D11/D7/12*1000</f>
        <v>35062.5</v>
      </c>
    </row>
    <row r="16" spans="1:4" ht="23.25" customHeight="1">
      <c r="A16" s="77" t="s">
        <v>136</v>
      </c>
      <c r="B16" s="183">
        <f t="shared" si="0"/>
        <v>6030.172413793103</v>
      </c>
      <c r="C16" s="184">
        <f t="shared" si="0"/>
        <v>6991.201982651795</v>
      </c>
      <c r="D16" s="184">
        <f>D12/D8/12*1000</f>
        <v>9392.951251646904</v>
      </c>
    </row>
    <row r="17" spans="1:4" ht="15" customHeight="1">
      <c r="A17" s="77" t="s">
        <v>137</v>
      </c>
      <c r="B17" s="183">
        <f t="shared" si="0"/>
        <v>6540.227952167414</v>
      </c>
      <c r="C17" s="184">
        <f t="shared" si="0"/>
        <v>8813.069343744191</v>
      </c>
      <c r="D17" s="184">
        <f>D13/D9/12*1000</f>
        <v>12079.254901960781</v>
      </c>
    </row>
    <row r="18" spans="1:4" ht="30" customHeight="1">
      <c r="A18" s="76" t="s">
        <v>139</v>
      </c>
      <c r="B18" s="183">
        <f>B19+B20+B21</f>
        <v>48044.209520000004</v>
      </c>
      <c r="C18" s="184">
        <f>C19+C20+C21</f>
        <v>64870.39</v>
      </c>
      <c r="D18" s="184">
        <f>D19+D20+D21</f>
        <v>84325.94147999998</v>
      </c>
    </row>
    <row r="19" spans="1:4" ht="15" customHeight="1">
      <c r="A19" s="77" t="s">
        <v>135</v>
      </c>
      <c r="B19" s="183">
        <f>B11*1.2194+0.18</f>
        <v>378.8037</v>
      </c>
      <c r="C19" s="184">
        <v>374.75</v>
      </c>
      <c r="D19" s="184">
        <f>D11*1.2194</f>
        <v>513.06255</v>
      </c>
    </row>
    <row r="20" spans="1:4" ht="21.75" customHeight="1">
      <c r="A20" s="77" t="s">
        <v>136</v>
      </c>
      <c r="B20" s="183">
        <f>B12*1.2194-110.32</f>
        <v>5007.5018</v>
      </c>
      <c r="C20" s="184">
        <v>6862.33</v>
      </c>
      <c r="D20" s="184">
        <f>D12*1.2194-0.47</f>
        <v>8692.937450000001</v>
      </c>
    </row>
    <row r="21" spans="1:4" ht="15" customHeight="1">
      <c r="A21" s="77" t="s">
        <v>137</v>
      </c>
      <c r="B21" s="183">
        <f>B13*1.2194-25.12</f>
        <v>42657.90402</v>
      </c>
      <c r="C21" s="184">
        <v>57633.31</v>
      </c>
      <c r="D21" s="184">
        <f>D13*1.2194-1.49+1.54-0.27</f>
        <v>75119.94147999998</v>
      </c>
    </row>
    <row r="22" spans="1:4" ht="45" customHeight="1">
      <c r="A22" s="76" t="s">
        <v>140</v>
      </c>
      <c r="B22" s="183">
        <f>B18/B6/12*1000</f>
        <v>7928.087379537954</v>
      </c>
      <c r="C22" s="184">
        <f>C18/C6/12*1000</f>
        <v>10466.34236850597</v>
      </c>
      <c r="D22" s="184">
        <f>D18/D6/12*1000</f>
        <v>14363.130894225853</v>
      </c>
    </row>
    <row r="23" spans="1:4" ht="15" customHeight="1">
      <c r="A23" s="77" t="s">
        <v>135</v>
      </c>
      <c r="B23" s="183">
        <f>B19/B7/12*1000-0.31</f>
        <v>31566.664999999997</v>
      </c>
      <c r="C23" s="184">
        <v>31228.89</v>
      </c>
      <c r="D23" s="184">
        <f>D19/D7/12*1000</f>
        <v>42755.2125</v>
      </c>
    </row>
    <row r="24" spans="1:4" ht="22.5" customHeight="1">
      <c r="A24" s="77" t="s">
        <v>136</v>
      </c>
      <c r="B24" s="183">
        <f>B20/B8/12*1000-0.01</f>
        <v>7194.676494252873</v>
      </c>
      <c r="C24" s="184">
        <f>C20/C8/12*1000</f>
        <v>8503.50681536555</v>
      </c>
      <c r="D24" s="184">
        <f>D20/D8/12*1000</f>
        <v>11453.145520421609</v>
      </c>
    </row>
    <row r="25" spans="1:4" ht="15" customHeight="1">
      <c r="A25" s="77" t="s">
        <v>137</v>
      </c>
      <c r="B25" s="183">
        <f>B21/B9/12*1000</f>
        <v>7970.460392376683</v>
      </c>
      <c r="C25" s="184">
        <f>C21/C9/12*1000</f>
        <v>10714.502695668338</v>
      </c>
      <c r="D25" s="184">
        <f>D21/D9/12*1000</f>
        <v>14729.400290196076</v>
      </c>
    </row>
    <row r="27" spans="1:4" ht="15">
      <c r="A27" s="117" t="s">
        <v>271</v>
      </c>
      <c r="C27" s="224" t="s">
        <v>276</v>
      </c>
      <c r="D27" s="224"/>
    </row>
    <row r="28" spans="1:4" ht="15">
      <c r="A28" s="30"/>
      <c r="C28" s="31" t="s">
        <v>91</v>
      </c>
      <c r="D28" s="13"/>
    </row>
    <row r="29" spans="1:4" ht="21" customHeight="1">
      <c r="A29" s="227" t="s">
        <v>319</v>
      </c>
      <c r="B29" s="227"/>
      <c r="C29" s="224" t="s">
        <v>315</v>
      </c>
      <c r="D29" s="224"/>
    </row>
    <row r="30" spans="1:4" ht="15">
      <c r="A30" s="117"/>
      <c r="B30" s="13"/>
      <c r="C30" s="31" t="s">
        <v>91</v>
      </c>
      <c r="D30" s="13"/>
    </row>
    <row r="31" spans="1:4" ht="20.25" customHeight="1">
      <c r="A31" s="117" t="s">
        <v>243</v>
      </c>
      <c r="B31" s="13"/>
      <c r="C31" s="224" t="s">
        <v>316</v>
      </c>
      <c r="D31" s="224"/>
    </row>
    <row r="32" spans="1:4" ht="15">
      <c r="A32" s="30"/>
      <c r="B32" s="13"/>
      <c r="C32" s="31" t="s">
        <v>91</v>
      </c>
      <c r="D32" s="13"/>
    </row>
    <row r="33" spans="1:4" ht="15">
      <c r="A33" s="117"/>
      <c r="B33" s="27"/>
      <c r="C33" s="222"/>
      <c r="D33" s="223"/>
    </row>
    <row r="34" spans="1:4" ht="15">
      <c r="A34" s="30"/>
      <c r="B34" s="29"/>
      <c r="C34" s="221"/>
      <c r="D34" s="221"/>
    </row>
  </sheetData>
  <sheetProtection/>
  <mergeCells count="7">
    <mergeCell ref="C33:D33"/>
    <mergeCell ref="C34:D34"/>
    <mergeCell ref="A2:D2"/>
    <mergeCell ref="C27:D27"/>
    <mergeCell ref="C29:D29"/>
    <mergeCell ref="C31:D31"/>
    <mergeCell ref="A29:B29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zoomScaleNormal="120" zoomScalePageLayoutView="0" workbookViewId="0" topLeftCell="A1">
      <selection activeCell="H22" sqref="H2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170</v>
      </c>
    </row>
    <row r="2" spans="1:4" ht="15.75">
      <c r="A2" s="194" t="s">
        <v>172</v>
      </c>
      <c r="B2" s="194"/>
      <c r="C2" s="194"/>
      <c r="D2" s="194"/>
    </row>
    <row r="3" spans="1:4" ht="15.75">
      <c r="A3" s="37"/>
      <c r="B3" s="37"/>
      <c r="C3" s="37"/>
      <c r="D3" s="37"/>
    </row>
    <row r="4" spans="1:7" ht="68.25" customHeight="1">
      <c r="A4" s="36" t="s">
        <v>1</v>
      </c>
      <c r="B4" s="6" t="s">
        <v>3</v>
      </c>
      <c r="C4" s="6" t="s">
        <v>133</v>
      </c>
      <c r="D4" s="6" t="s">
        <v>134</v>
      </c>
      <c r="G4" s="121" t="s">
        <v>266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173</v>
      </c>
      <c r="B6" s="68"/>
      <c r="C6" s="69"/>
      <c r="D6" s="122">
        <f>D7+D8+D9</f>
        <v>499.5</v>
      </c>
      <c r="H6" t="s">
        <v>254</v>
      </c>
    </row>
    <row r="7" spans="1:4" ht="15" customHeight="1">
      <c r="A7" s="77" t="s">
        <v>135</v>
      </c>
      <c r="B7" s="41"/>
      <c r="C7" s="42"/>
      <c r="D7" s="123">
        <v>1</v>
      </c>
    </row>
    <row r="8" spans="1:4" ht="30" customHeight="1">
      <c r="A8" s="77" t="s">
        <v>136</v>
      </c>
      <c r="B8" s="41"/>
      <c r="C8" s="42"/>
      <c r="D8" s="124">
        <v>67.25</v>
      </c>
    </row>
    <row r="9" spans="1:4" ht="15" customHeight="1">
      <c r="A9" s="77" t="s">
        <v>137</v>
      </c>
      <c r="B9" s="41"/>
      <c r="C9" s="42"/>
      <c r="D9" s="123">
        <v>431.25</v>
      </c>
    </row>
    <row r="10" spans="1:6" ht="29.25" customHeight="1">
      <c r="A10" s="76" t="s">
        <v>138</v>
      </c>
      <c r="B10" s="68"/>
      <c r="C10" s="69"/>
      <c r="D10" s="85">
        <f>D11+D12+D13</f>
        <v>43494.91</v>
      </c>
      <c r="F10">
        <f>F11+F12+F13</f>
        <v>43494.91</v>
      </c>
    </row>
    <row r="11" spans="1:7" ht="15" customHeight="1">
      <c r="A11" s="77" t="s">
        <v>135</v>
      </c>
      <c r="B11" s="41"/>
      <c r="C11" s="42"/>
      <c r="D11" s="111">
        <v>235.7</v>
      </c>
      <c r="F11" s="121">
        <v>360</v>
      </c>
      <c r="G11" t="s">
        <v>253</v>
      </c>
    </row>
    <row r="12" spans="1:6" ht="30" customHeight="1">
      <c r="A12" s="77" t="s">
        <v>136</v>
      </c>
      <c r="B12" s="41"/>
      <c r="C12" s="42"/>
      <c r="D12" s="112">
        <v>4964.3</v>
      </c>
      <c r="F12">
        <v>4840</v>
      </c>
    </row>
    <row r="13" spans="1:6" ht="15" customHeight="1">
      <c r="A13" s="77" t="s">
        <v>137</v>
      </c>
      <c r="B13" s="41"/>
      <c r="C13" s="42"/>
      <c r="D13" s="112">
        <v>38294.91</v>
      </c>
      <c r="F13">
        <v>38294.91</v>
      </c>
    </row>
    <row r="14" spans="1:4" ht="45" customHeight="1">
      <c r="A14" s="76" t="s">
        <v>168</v>
      </c>
      <c r="B14" s="66"/>
      <c r="C14" s="40"/>
      <c r="D14" s="113">
        <f>D10/D6/12*1000</f>
        <v>7256.408074741408</v>
      </c>
    </row>
    <row r="15" spans="1:4" ht="15" customHeight="1">
      <c r="A15" s="77" t="s">
        <v>135</v>
      </c>
      <c r="B15" s="67"/>
      <c r="C15" s="43"/>
      <c r="D15" s="113">
        <f>D11/D7/12*1000</f>
        <v>19641.666666666664</v>
      </c>
    </row>
    <row r="16" spans="1:4" ht="30" customHeight="1">
      <c r="A16" s="77" t="s">
        <v>136</v>
      </c>
      <c r="B16" s="67"/>
      <c r="C16" s="43"/>
      <c r="D16" s="113">
        <f>D12/D8/12*1000</f>
        <v>6151.548946716233</v>
      </c>
    </row>
    <row r="17" spans="1:4" ht="15" customHeight="1">
      <c r="A17" s="77" t="s">
        <v>137</v>
      </c>
      <c r="B17" s="67"/>
      <c r="C17" s="43"/>
      <c r="D17" s="113">
        <f>D13/D9/12*1000</f>
        <v>7399.982608695653</v>
      </c>
    </row>
    <row r="18" spans="1:4" ht="30" customHeight="1">
      <c r="A18" s="76" t="s">
        <v>139</v>
      </c>
      <c r="B18" s="68"/>
      <c r="C18" s="69"/>
      <c r="D18" s="113">
        <f>D19+D20+D21</f>
        <v>53033.73</v>
      </c>
    </row>
    <row r="19" spans="1:4" ht="15" customHeight="1">
      <c r="A19" s="77" t="s">
        <v>135</v>
      </c>
      <c r="B19" s="41"/>
      <c r="C19" s="42"/>
      <c r="D19" s="113">
        <f>D11*1.22</f>
        <v>287.554</v>
      </c>
    </row>
    <row r="20" spans="1:4" ht="30" customHeight="1">
      <c r="A20" s="77" t="s">
        <v>136</v>
      </c>
      <c r="B20" s="41"/>
      <c r="C20" s="42"/>
      <c r="D20" s="113">
        <f>D12*1.22</f>
        <v>6056.446</v>
      </c>
    </row>
    <row r="21" spans="1:4" ht="15" customHeight="1">
      <c r="A21" s="77" t="s">
        <v>137</v>
      </c>
      <c r="B21" s="41"/>
      <c r="C21" s="42"/>
      <c r="D21" s="113">
        <v>46689.73</v>
      </c>
    </row>
    <row r="22" spans="1:4" ht="45" customHeight="1">
      <c r="A22" s="76" t="s">
        <v>140</v>
      </c>
      <c r="B22" s="66"/>
      <c r="C22" s="40"/>
      <c r="D22" s="113">
        <f>D18/D6/12*1000</f>
        <v>8847.802802802804</v>
      </c>
    </row>
    <row r="23" spans="1:4" ht="15" customHeight="1">
      <c r="A23" s="77" t="s">
        <v>135</v>
      </c>
      <c r="B23" s="67"/>
      <c r="C23" s="43"/>
      <c r="D23" s="85">
        <f>D19/D7/12*1000</f>
        <v>23962.833333333332</v>
      </c>
    </row>
    <row r="24" spans="1:4" ht="30" customHeight="1">
      <c r="A24" s="77" t="s">
        <v>136</v>
      </c>
      <c r="B24" s="67"/>
      <c r="C24" s="43"/>
      <c r="D24" s="85">
        <f>D20/D8/12*1000</f>
        <v>7504.889714993804</v>
      </c>
    </row>
    <row r="25" spans="1:4" ht="15" customHeight="1">
      <c r="A25" s="77" t="s">
        <v>137</v>
      </c>
      <c r="B25" s="67"/>
      <c r="C25" s="43"/>
      <c r="D25" s="85">
        <f>D21/D9/12*1000</f>
        <v>9022.170048309179</v>
      </c>
    </row>
    <row r="30" spans="1:5" ht="15" customHeight="1">
      <c r="A30" s="26" t="s">
        <v>272</v>
      </c>
      <c r="B30" s="63" t="s">
        <v>122</v>
      </c>
      <c r="C30" s="228"/>
      <c r="D30" s="228"/>
      <c r="E30" s="29"/>
    </row>
    <row r="31" spans="1:5" ht="15">
      <c r="A31" s="30" t="s">
        <v>171</v>
      </c>
      <c r="B31" s="64" t="s">
        <v>120</v>
      </c>
      <c r="C31" s="229" t="s">
        <v>123</v>
      </c>
      <c r="D31" s="229"/>
      <c r="E31" s="32"/>
    </row>
  </sheetData>
  <sheetProtection/>
  <mergeCells count="3">
    <mergeCell ref="A2:D2"/>
    <mergeCell ref="C30:D30"/>
    <mergeCell ref="C31:D3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4" sqref="N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2021-02-24T11:14:35Z</cp:lastPrinted>
  <dcterms:created xsi:type="dcterms:W3CDTF">1996-10-08T23:32:33Z</dcterms:created>
  <dcterms:modified xsi:type="dcterms:W3CDTF">2021-03-01T08:41:39Z</dcterms:modified>
  <cp:category/>
  <cp:version/>
  <cp:contentType/>
  <cp:contentStatus/>
</cp:coreProperties>
</file>